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9720" windowHeight="6225" activeTab="0"/>
  </bookViews>
  <sheets>
    <sheet name="Statement of Problem" sheetId="1" r:id="rId1"/>
    <sheet name="Chart" sheetId="2" r:id="rId2"/>
    <sheet name="Comments" sheetId="3" r:id="rId3"/>
    <sheet name="Financial Information" sheetId="4" r:id="rId4"/>
    <sheet name="Spreadsheet (Part I)" sheetId="5" r:id="rId5"/>
    <sheet name="Analysis" sheetId="6" r:id="rId6"/>
  </sheets>
  <externalReferences>
    <externalReference r:id="rId9"/>
  </externalReferences>
  <definedNames>
    <definedName name="_xlnm.Print_Area" localSheetId="3">'Financial Information'!$A$1:$K$112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<sst xmlns="http://schemas.openxmlformats.org/spreadsheetml/2006/main" count="851" uniqueCount="357">
  <si>
    <t>ROBERT MONDAVI CORP</t>
  </si>
  <si>
    <t>ANNUAL FINANCIAL INFORMATION</t>
  </si>
  <si>
    <t xml:space="preserve"> </t>
  </si>
  <si>
    <t>BALANCE SHEET</t>
  </si>
  <si>
    <t xml:space="preserve">        ANNUAL ASSETS (000s)</t>
  </si>
  <si>
    <t>FISCAL YEAR ENDING</t>
  </si>
  <si>
    <t>CASH</t>
  </si>
  <si>
    <t>NA</t>
  </si>
  <si>
    <t>MRKTABLE SECURITIES</t>
  </si>
  <si>
    <t>RECEIVABLES</t>
  </si>
  <si>
    <t>INVENTORIES</t>
  </si>
  <si>
    <t>RAW MATERIALS</t>
  </si>
  <si>
    <t>WORK IN PROGRESS</t>
  </si>
  <si>
    <t>FINISHED GOODS</t>
  </si>
  <si>
    <t>NOTES RECEIVABLE</t>
  </si>
  <si>
    <t>OTHER CURRENT ASSETS</t>
  </si>
  <si>
    <t>TOTAL CURRENT ASSETS</t>
  </si>
  <si>
    <t>PROP, PLANT &amp; EQUIP</t>
  </si>
  <si>
    <t>ACCUMULATED DEP</t>
  </si>
  <si>
    <t>NET PROP &amp; EQUIP</t>
  </si>
  <si>
    <t>INVEST &amp; ADV TO SUBS</t>
  </si>
  <si>
    <t>OTHER NON-CUR ASSETS</t>
  </si>
  <si>
    <t>DEFERRED CHARGES</t>
  </si>
  <si>
    <t>INTANGIBLES</t>
  </si>
  <si>
    <t>DEPOSITS &amp; OTH ASSET</t>
  </si>
  <si>
    <t>TOTAL ASSETS</t>
  </si>
  <si>
    <t xml:space="preserve">        ANNUAL LIABILITIES (000S)</t>
  </si>
  <si>
    <t>NOTES PAYABLE</t>
  </si>
  <si>
    <t>ACCOUNTS PAYABLE</t>
  </si>
  <si>
    <t>CUR LONG TERM DEBT</t>
  </si>
  <si>
    <t>CUR PORT CAP LEASES</t>
  </si>
  <si>
    <t>ACCRUED EXPENSES</t>
  </si>
  <si>
    <t>INCOME TAXES</t>
  </si>
  <si>
    <t>OTHER CURRENT LIAB</t>
  </si>
  <si>
    <t>TOTAL CURRENT LIAB</t>
  </si>
  <si>
    <t>MORTGAGES</t>
  </si>
  <si>
    <t>DEFERRED CHARGES/INC</t>
  </si>
  <si>
    <t>CONVERTIBLE DEBT</t>
  </si>
  <si>
    <t>LONG TERM DEBT</t>
  </si>
  <si>
    <t>NON-CUR CAP LEASES</t>
  </si>
  <si>
    <t>OTHER LONG TERM LIAB</t>
  </si>
  <si>
    <t>TOTAL LIABILITIES</t>
  </si>
  <si>
    <t>MINORITY INT (LIAB)</t>
  </si>
  <si>
    <t>PREFERRED STOCK</t>
  </si>
  <si>
    <t>COMMON STOCK NET</t>
  </si>
  <si>
    <t>CAPITAL SURPLUS</t>
  </si>
  <si>
    <t>RETAINED EARNINGS</t>
  </si>
  <si>
    <t>TREASURY STOCK</t>
  </si>
  <si>
    <t>OTHER EQUITIES</t>
  </si>
  <si>
    <t>SHAREHOLDER EQUITY</t>
  </si>
  <si>
    <t>TOT LIAB &amp; NET WORTH</t>
  </si>
  <si>
    <t xml:space="preserve">        ANNUAL INCOME (000s)</t>
  </si>
  <si>
    <t>NET SALES</t>
  </si>
  <si>
    <t>COST OF GOODS</t>
  </si>
  <si>
    <t>GROSS PROFIT</t>
  </si>
  <si>
    <t>R &amp; D EXPENDITURES</t>
  </si>
  <si>
    <t>SELL GEN &amp; ADMIN EXP</t>
  </si>
  <si>
    <t>INC BEF DEP &amp; AMORT</t>
  </si>
  <si>
    <t>DEPRECIATION &amp; AMORT</t>
  </si>
  <si>
    <t>NON-OPERATING INC</t>
  </si>
  <si>
    <t>INTEREST EXPENSE</t>
  </si>
  <si>
    <t>INCOME BEFORE TAX</t>
  </si>
  <si>
    <t>PROV FOR INC TAXES</t>
  </si>
  <si>
    <t>MINORITY INT (INC)</t>
  </si>
  <si>
    <t>INVEST GAINS/LOSSES</t>
  </si>
  <si>
    <t>OTHER INCOME</t>
  </si>
  <si>
    <t>NET INC BEF EX ITEMS</t>
  </si>
  <si>
    <t>EX ITEMS &amp; DISC OPS</t>
  </si>
  <si>
    <t>NET INCOME</t>
  </si>
  <si>
    <t>OUTSTANDING SHARES</t>
  </si>
  <si>
    <t>CASH FLOW PROVIDED BY OPERATING ACTIVITY (000s)</t>
  </si>
  <si>
    <t>Fiscal Year Ending</t>
  </si>
  <si>
    <t>Net Income (Loss)</t>
  </si>
  <si>
    <t>Depreciation/Amortization</t>
  </si>
  <si>
    <t>Net Incr (Decr) Assets/Liabs</t>
  </si>
  <si>
    <t>Cash Prov (Used) by Disc Oper</t>
  </si>
  <si>
    <t>Other Adjustments, Net</t>
  </si>
  <si>
    <t>Net Cash Prov (Used) by Oper</t>
  </si>
  <si>
    <t>CASH FLOW PROVIDED BY INVESTING ACTIVITY (000s)</t>
  </si>
  <si>
    <t>(Incr) Decr in Prop, Plant</t>
  </si>
  <si>
    <t>(Acq) Disp of Subs, Business</t>
  </si>
  <si>
    <t>(Incr) Decr in Securities Inv</t>
  </si>
  <si>
    <t>Other Cash Inflow (Outflow)</t>
  </si>
  <si>
    <t>Net Cash Prov (Used) by Inv</t>
  </si>
  <si>
    <t>CASH FLOW PROVIDED BY FINANCING ACTIVITY (000s)</t>
  </si>
  <si>
    <t>Issue (Purchase) of Equity</t>
  </si>
  <si>
    <t>Issue (Repayment) of Debt</t>
  </si>
  <si>
    <t>Incr (Decr) In Borrowing</t>
  </si>
  <si>
    <t>Dividends, Other Distribution</t>
  </si>
  <si>
    <t>Net Cash Prov (Used) by Finan</t>
  </si>
  <si>
    <t>Effect of Exchg Rate On Cash</t>
  </si>
  <si>
    <t>Net Change in Cash or Equiv</t>
  </si>
  <si>
    <t>Cash or Equiv at Year Start</t>
  </si>
  <si>
    <t>Cash or Equiv at Year End</t>
  </si>
  <si>
    <t>INPUT SHEET FOR CAPITAL STRUCTURE</t>
  </si>
  <si>
    <t>Please enter the name of the company you are analyzing:</t>
  </si>
  <si>
    <t>Robert Mondavi Corporation</t>
  </si>
  <si>
    <t>Please enter the following information on the company you are analysing:</t>
  </si>
  <si>
    <t>Earnings before interest, taxes and depreciation (EBITDA)</t>
  </si>
  <si>
    <t>(in currency)</t>
  </si>
  <si>
    <t>Depreciation:</t>
  </si>
  <si>
    <t>Capital Spending:</t>
  </si>
  <si>
    <t>Interest expense on debt:</t>
  </si>
  <si>
    <t>Current Rating on debt (if available):</t>
  </si>
  <si>
    <t>(Rating)</t>
  </si>
  <si>
    <t>Interest rate based upon rating:</t>
  </si>
  <si>
    <t>(Look up table below for spread)</t>
  </si>
  <si>
    <t>Tax rate on ordinary income:</t>
  </si>
  <si>
    <t>(in percent)</t>
  </si>
  <si>
    <t>Number of shares outstanding:</t>
  </si>
  <si>
    <t>(in units)</t>
  </si>
  <si>
    <t>Market price per share:</t>
  </si>
  <si>
    <t>Yahoo, as of 12/3</t>
  </si>
  <si>
    <t>Beta of the stock:</t>
  </si>
  <si>
    <t>Book value of debt:</t>
  </si>
  <si>
    <t>Can you estimate the market value of the outstanding debt?</t>
  </si>
  <si>
    <t>No</t>
  </si>
  <si>
    <t>(Yes or No)</t>
  </si>
  <si>
    <t>If so, enter the market value of debt:</t>
  </si>
  <si>
    <t>Please enter the following market information:</t>
  </si>
  <si>
    <t>Current short-term (ST) government rate:</t>
  </si>
  <si>
    <t>Wall Street Journal, 12/3</t>
  </si>
  <si>
    <t>Current long-term (LT) government rate:</t>
  </si>
  <si>
    <t>Bloomberg.com, 12/3</t>
  </si>
  <si>
    <t>Which rate would you like to use as the riskfree rate in the CAPM?</t>
  </si>
  <si>
    <t>LT</t>
  </si>
  <si>
    <t>(ST or LT)</t>
  </si>
  <si>
    <t>Risk premium (for use in the CAPM)</t>
  </si>
  <si>
    <t>Please enter the following information for computing ratings/spreads</t>
  </si>
  <si>
    <t>The following are the defaults used in the program:</t>
  </si>
  <si>
    <t>If coverage ratio is</t>
  </si>
  <si>
    <t>greater than</t>
  </si>
  <si>
    <t>Š to</t>
  </si>
  <si>
    <t>Rating is</t>
  </si>
  <si>
    <t>Spread over long bond is</t>
  </si>
  <si>
    <t>D</t>
  </si>
  <si>
    <t>C</t>
  </si>
  <si>
    <t>CC</t>
  </si>
  <si>
    <t>CCC</t>
  </si>
  <si>
    <t>B-</t>
  </si>
  <si>
    <t>B</t>
  </si>
  <si>
    <t>B+</t>
  </si>
  <si>
    <t>BB</t>
  </si>
  <si>
    <t>BBB</t>
  </si>
  <si>
    <t>A-</t>
  </si>
  <si>
    <t>A</t>
  </si>
  <si>
    <t>A+</t>
  </si>
  <si>
    <t>AA</t>
  </si>
  <si>
    <t>AAA</t>
  </si>
  <si>
    <t>Do you want to change these defaults?</t>
  </si>
  <si>
    <t>If you want to change these defaults, please enter the new values below:</t>
  </si>
  <si>
    <t>Spread is</t>
  </si>
  <si>
    <t>Operating Income Decline</t>
  </si>
  <si>
    <t>Computational Options</t>
  </si>
  <si>
    <t>The calculations assume that existing debt is refinanced at the 'recalculated rate' in calculating interest cost.</t>
  </si>
  <si>
    <t>Do you want to assume that existing debt is refinanced at the 'new' rate?</t>
  </si>
  <si>
    <t>Yes</t>
  </si>
  <si>
    <t>The rating estimated for the firm at its existing debt ratio may be different from its actual rating.</t>
  </si>
  <si>
    <t>Do you want the firm's rating to be adjusted to the estimated rating?</t>
  </si>
  <si>
    <t xml:space="preserve">ANALYZING CAPITAL STRUCTURE </t>
  </si>
  <si>
    <t>INPUTS FOR ANALYSIS</t>
  </si>
  <si>
    <t>Capital Structure</t>
  </si>
  <si>
    <t>Financial Market</t>
  </si>
  <si>
    <t>Income Statement</t>
  </si>
  <si>
    <t>Current MV of Equity =</t>
  </si>
  <si>
    <t>Current Beta for Stock =</t>
  </si>
  <si>
    <t>Current EBITDA =</t>
  </si>
  <si>
    <t>Current Outstanding Debt =</t>
  </si>
  <si>
    <t>Current Bond Rating =</t>
  </si>
  <si>
    <t>Current Depreciation =</t>
  </si>
  <si>
    <t># of Shares Outstanding =</t>
  </si>
  <si>
    <t>Current T.Bill Rate =</t>
  </si>
  <si>
    <t>Current Tax Rate =</t>
  </si>
  <si>
    <t>Riskless rate to use in CAPM =</t>
  </si>
  <si>
    <t>Current T. Bond Rate =</t>
  </si>
  <si>
    <t>Current Capital Spending=</t>
  </si>
  <si>
    <t>Risk Premium =</t>
  </si>
  <si>
    <t>Current Interest Rate =</t>
  </si>
  <si>
    <t>Current Interest Expense =</t>
  </si>
  <si>
    <t>RESULTS FROM ANALYSIS</t>
  </si>
  <si>
    <t>Current</t>
  </si>
  <si>
    <t>Optimal</t>
  </si>
  <si>
    <t>Change</t>
  </si>
  <si>
    <t>D/(D+E) Ratio =</t>
  </si>
  <si>
    <t>Beta for the  Stock =</t>
  </si>
  <si>
    <t>Cost of Equity    =</t>
  </si>
  <si>
    <t>AT Interest Rate on Debt =</t>
  </si>
  <si>
    <t>WACC</t>
  </si>
  <si>
    <t>Implied Growth Rate =</t>
  </si>
  <si>
    <t>Market Value of Firm =</t>
  </si>
  <si>
    <t>Market Value of Firm (G) =</t>
  </si>
  <si>
    <t>Market Price/share (C) =</t>
  </si>
  <si>
    <t>Market Price/share (G) =</t>
  </si>
  <si>
    <t>We use the following default spreads in our analysis. Change them in the input sheet if necessary:</t>
  </si>
  <si>
    <t>Ratings comparison at current debt ratio</t>
  </si>
  <si>
    <t>Rating</t>
  </si>
  <si>
    <t>Coverage gt</t>
  </si>
  <si>
    <t>and lt</t>
  </si>
  <si>
    <t>Spread</t>
  </si>
  <si>
    <t>Current Interest coverage ratio =</t>
  </si>
  <si>
    <t>Rating based upon coverage =</t>
  </si>
  <si>
    <t>Interest rate based upon coverage =</t>
  </si>
  <si>
    <t>Current rating for company =</t>
  </si>
  <si>
    <t>Current interest rate on debt =</t>
  </si>
  <si>
    <t>Current beta=</t>
  </si>
  <si>
    <t>Current Equity=</t>
  </si>
  <si>
    <t>Current Depreciation=</t>
  </si>
  <si>
    <t>Current  Debt=</t>
  </si>
  <si>
    <t>Current EBITDA=</t>
  </si>
  <si>
    <t>Current Interest rate (Company)=</t>
  </si>
  <si>
    <t>Tax rate=</t>
  </si>
  <si>
    <t>Current Rating=</t>
  </si>
  <si>
    <t>Current T.Bond rate=</t>
  </si>
  <si>
    <t>Six-month T.Bill rate=</t>
  </si>
  <si>
    <t>WORKSHEET FOR ESTIMATING RATINGS/INTEREST RATES</t>
  </si>
  <si>
    <t>D/(D+E)</t>
  </si>
  <si>
    <t>D/E</t>
  </si>
  <si>
    <t>$ Debt</t>
  </si>
  <si>
    <t>Beta</t>
  </si>
  <si>
    <t>Cost of Equity</t>
  </si>
  <si>
    <t>Operating Income Drop</t>
  </si>
  <si>
    <t>Operating Inc.</t>
  </si>
  <si>
    <t>Depreciation</t>
  </si>
  <si>
    <t>Interest</t>
  </si>
  <si>
    <t>Taxable Income</t>
  </si>
  <si>
    <t>Tax</t>
  </si>
  <si>
    <t>Net Income</t>
  </si>
  <si>
    <t>(+)Deprec'n</t>
  </si>
  <si>
    <t>Funds from Op.</t>
  </si>
  <si>
    <t>Pre-tax Int. cov</t>
  </si>
  <si>
    <t></t>
  </si>
  <si>
    <t>Funds Int. Cov</t>
  </si>
  <si>
    <t>Funds/Debt</t>
  </si>
  <si>
    <t>Likely Rating</t>
  </si>
  <si>
    <t>Interest Rate</t>
  </si>
  <si>
    <t>Eff. Tax Rate</t>
  </si>
  <si>
    <t>WORKSHEET FOR CALCULATING WEIGHTED AVERAGE COST OF CAPITAL</t>
  </si>
  <si>
    <t>Cost of equity</t>
  </si>
  <si>
    <t>Cost of debt</t>
  </si>
  <si>
    <t>Firm Value</t>
  </si>
  <si>
    <t xml:space="preserve">Firm Value </t>
  </si>
  <si>
    <t>*Firm Value (C): No growth in savings. New Firm Value=Current Firm value +{(WACC(current)-New WACC)*Current firm value/New WACC}</t>
  </si>
  <si>
    <t>*Firm Value (G): Savings grow. New Firm Value = (EBIT*(1-t)+Depreciation-Capital Spending)/(New WACC-g)</t>
  </si>
  <si>
    <t xml:space="preserve">The program uses the following interest coverage ratios and ratings relationships. You can modify them on the input sheet. </t>
  </si>
  <si>
    <t xml:space="preserve">The interest rates are automatically updated when the T.Bond rate is entered. </t>
  </si>
  <si>
    <t>Interest cov</t>
  </si>
  <si>
    <t>RATING</t>
  </si>
  <si>
    <t>Interest rate</t>
  </si>
  <si>
    <t>Low</t>
  </si>
  <si>
    <t>High</t>
  </si>
  <si>
    <t>Debt Ratio</t>
  </si>
  <si>
    <t>Cost of Debt</t>
  </si>
  <si>
    <t>Operating Income Worksheet Area</t>
  </si>
  <si>
    <t>Operating Income at Current Rating =</t>
  </si>
  <si>
    <t>Current Interest Coverage Ratio=</t>
  </si>
  <si>
    <t>Drop in Operating Income due to rating =</t>
  </si>
  <si>
    <t>Operating Income at AAA rating =</t>
  </si>
  <si>
    <t>ROBERT MONDAVI CORPORATION (MOND)</t>
  </si>
  <si>
    <t>Profile:</t>
  </si>
  <si>
    <t>The Robert Mondavi Corporation is a producer of premium table wines under numerous labels including Woodbridge, Opus</t>
  </si>
  <si>
    <t>One, Luce, Byron, and Robert Mondavi Napa Valley.  With an estimated 921 employees and market capitalization of $530</t>
  </si>
  <si>
    <t>million, Robert Mondavi products are available across the United States through varying distribution channels and in ninty</t>
  </si>
  <si>
    <t>countries.  The majority of its sales originate from California, which accounted for 22% of total sales in 1997.  Since</t>
  </si>
  <si>
    <t>founded in 1966, the corporation currently operates five wineries and has expanded to the operation of over five thousand</t>
  </si>
  <si>
    <t>acres of vineyards.  The company is paying no dividends and this status is expected to continue as funds are retained for</t>
  </si>
  <si>
    <t>business expansion.  Net income for fiscal year ended June 30, 1998 was $29 million.</t>
  </si>
  <si>
    <t>Recent Events Related to Capital Structure:</t>
  </si>
  <si>
    <t>Robert Mondavi Corporation's recent November 10-Q disclosure reported an increase in interest expense of over 30% in the</t>
  </si>
  <si>
    <t>first quarter of fiscal 1999 as compared to the first quarter of fiscal 1998.  Management justifies this increase as resulting</t>
  </si>
  <si>
    <t>from the need for greater working capital and from higher capital requirements for vineyard development and the expansion</t>
  </si>
  <si>
    <t>of its Woodbridge production facility.  Furthermore, long term debt has displayed an upward trend over the past eight</t>
  </si>
  <si>
    <t>years.  The total debt to equity ratio and long term debt to equity ratio are 86% and 82%, respectively, for fiscal year 1998.</t>
  </si>
  <si>
    <t>Robert Mondavi does not pay dividends as funds are retained for expansion purposes.</t>
  </si>
  <si>
    <t>Results of Spreadsheet Analysis:</t>
  </si>
  <si>
    <t xml:space="preserve">According to the results of our spreadsheet analysis, Robert Mondavi's current debt ratio is 28.56% and can move to an </t>
  </si>
  <si>
    <t>optimal debt ratio of 30%.  By optimizing the debt ratio, both the Beta of Robert Mondavi's stock and the cost of equity</t>
  </si>
  <si>
    <t>slightly increase.  The Beta increases .03, from 1.81 to 1.84.  There is also a .14 increase in the cost of equity to 15.13%</t>
  </si>
  <si>
    <t xml:space="preserve">from 14.99%.  After tax interest costs on debt will increase from 0 to 4.29%.  The WACC also increases 1.17% as Robert </t>
  </si>
  <si>
    <t>Mondavi moves from the current debt ratio to the optimal debt ratio, 10.71 and 11.88, respectively.  By moving to the</t>
  </si>
  <si>
    <t xml:space="preserve">optimal debt ratio the market value of the firm fell from $779,212 to $702,440.  This is perhaps due to anomolous results </t>
  </si>
  <si>
    <t>from the methods used to compute the firm value.  The market price per share also fell $5 from $36.25 to $31.25.</t>
  </si>
  <si>
    <t>Questions:</t>
  </si>
  <si>
    <t>Discuss other factors, which you have not taken into account in your spreadsheet analysis, which affect your</t>
  </si>
  <si>
    <t>recommendation.</t>
  </si>
  <si>
    <t>Other factors may need to be consider with regards to the optimal debt ratio and the consequent optimal firm value it</t>
  </si>
  <si>
    <t>yields.  Reality tells us that many firms' debt ratio are vastly different from their optimal level; GE is one example.  Why do</t>
  </si>
  <si>
    <t>they choose to do this?  Perhaps other factors need to be considered. For one, different companies with different histories</t>
  </si>
  <si>
    <t>may have a different need or motive of having a certain debt ratio different from their optimal.  For instance, some</t>
  </si>
  <si>
    <t>companies may be looking to grow through mergers and acquisitions.  If this is the strategy the firm plans to follow, it may</t>
  </si>
  <si>
    <t>purposely hold more liquid assets like cash, rather than have the need for enormous debt.  Another company, for example,</t>
  </si>
  <si>
    <t>may have just sustained a large loss from a venture and be in great need of capital to rebuild and remain viable.  In such a</t>
  </si>
  <si>
    <t>case, the company may assume a higher debt ratio.</t>
  </si>
  <si>
    <t>In other words, there are more subjective elements that managers may take into consideration when determine the optimal</t>
  </si>
  <si>
    <t>debt level for their company.</t>
  </si>
  <si>
    <t>Discuss the nature of Robert Mondavi's assets, from the viewpoint of its optimal capital structure.</t>
  </si>
  <si>
    <t>As the results of our analysis indicate, the optimal debt ratio for Robert Mondavi is 30%.  This is extremely close to its</t>
  </si>
  <si>
    <t>current debt ratio of 28.56%.  A closer look at Robert Mondavi's asset structure can illustrate more regarding the nature of</t>
  </si>
  <si>
    <t>the business and, consequently, the optimal capital structure.</t>
  </si>
  <si>
    <t>Assets</t>
  </si>
  <si>
    <t>% of Total</t>
  </si>
  <si>
    <t>As the above illustrates, Robert Mondavi holds most of its assets in the form of inventories and plant, property and</t>
  </si>
  <si>
    <t>equipment.  Cash represents a very small amount of its total asset structure.  In this sense, Robert Mondavi is a typical</t>
  </si>
  <si>
    <t>example of a company in the beverage industry in terms of asset structure of fixed assets and debt ratio; the beverage</t>
  </si>
  <si>
    <t>industry average is 25.07%.  In its industry, Robert Mondavi requires capital for production development and product</t>
  </si>
  <si>
    <t>expansion.  Cash and cash equivalents are not as necessary for horizontal integration activities.</t>
  </si>
  <si>
    <t>Do you see any management actions in Robert Mondavi's history that might be interpreted as attempts to</t>
  </si>
  <si>
    <t>dispossess bondholders in favor of stockholders.  (Include events where the main objective might have been</t>
  </si>
  <si>
    <t>legitimate one, but which nevertheless had as a side objective, the transfer of wealth from bondholders to</t>
  </si>
  <si>
    <t>stockholders.)</t>
  </si>
  <si>
    <t>There does not exist any major reasons in which to believe that Robert Mondavi Corporation may be attempting to</t>
  </si>
  <si>
    <t>dispossess bondholders in favor of stockholders.  It certaintly is not paying stockholders excessive dividends from its</t>
  </si>
  <si>
    <t>earnings; it does not pay any annual dividends.  We also cannot subjectively say that the company is entering into risky</t>
  </si>
  <si>
    <t>projects through its program of increasing production capacity which many companies will naturally persue to gain market</t>
  </si>
  <si>
    <t>share and sales.  However, Robert Mondavi has increased its long term debt consistently over the past eight years under</t>
  </si>
  <si>
    <t>review.  Long term debt for fiscal year 1998 totaled $222,557 compared to $65,414 for fiscal year 1991.  Moreover, the long</t>
  </si>
  <si>
    <t>term debt to equity ratio stands currently stands at over 82% of equity as opposed to approximately 66% a year ago,</t>
  </si>
  <si>
    <t>1997.  It would be misleading to simply take the numbers and ratios alone; let us examine Robert Mondavi's debt ratio for a</t>
  </si>
  <si>
    <t>clearer picture.</t>
  </si>
  <si>
    <t>Debt Ratio Analysis:</t>
  </si>
  <si>
    <t>Period</t>
  </si>
  <si>
    <t>As the debt ratio graph above shows, Robert Mondavi has remained relatively stable, peaking in 1992 to a current level of</t>
  </si>
  <si>
    <t>46.7%.  While the absolute amount of debt taken on by the company seemed to have been climbing, this comparison</t>
  </si>
  <si>
    <t>allows us to conclude that Robert Mondavi has not, as far as our analysis can tell, been attempting to dispossess</t>
  </si>
  <si>
    <t>bondholders.</t>
  </si>
  <si>
    <t>Your capital spending is negative (should be positive).</t>
  </si>
  <si>
    <t>You have a wealth decrease in moving to the optimum only because you don't have</t>
  </si>
  <si>
    <t>any computations for debt ratios between 20% and 30%!</t>
  </si>
  <si>
    <t xml:space="preserve">NYSE) by going to the Disclosure Database, which can be accessed from the Library's homepage. </t>
  </si>
  <si>
    <t>(You're better off trying this from a Pace University site.  If you do this from an off-Pace site, you have</t>
  </si>
  <si>
    <t>to follow the instructions given on the Library site for remote access.)  You can find a lot of other</t>
  </si>
  <si>
    <t>information at this site as well.  The financial statement information, alone, can also be downloaded from</t>
  </si>
  <si>
    <t>my website. In addition, if you choose to, you can obtain additional information, either from the company</t>
  </si>
  <si>
    <t xml:space="preserve">structure, using the approach laid out in Chapter 18 of the text (cost of capital approach). </t>
  </si>
  <si>
    <t>A useful source of information is the company's annual report (for US companies, this can be obtained,</t>
  </si>
  <si>
    <t>either by writing to the company, from a library, or from the SEC Database), and in trade publications and</t>
  </si>
  <si>
    <t>other news outlets. You can also get information from the various sources identified on my Finance and</t>
  </si>
  <si>
    <t>Economics webpage. The bond rating agencies will also, frequently provide you with information on the</t>
  </si>
  <si>
    <t xml:space="preserve">latest bond ratings for the company. (See for example, Standard and Poor's ratings page.) </t>
  </si>
  <si>
    <t>The report should be presented on an Excel spreadsheet, and should consist of two different worksheets.</t>
  </si>
  <si>
    <t>Worksheet I will contain the spreadsheet analysis of capital structure using the template that you can get</t>
  </si>
  <si>
    <t>from Prof. Damodaran's website in the Spreadsheets section. Worksheet II (which should be part of the</t>
  </si>
  <si>
    <t xml:space="preserve">same file) should have the following format: </t>
  </si>
  <si>
    <t xml:space="preserve">     Brief summary of the firm's operations. </t>
  </si>
  <si>
    <t xml:space="preserve">     History of recent events, if any, that might be relevant for the firm's optimal capital structure. </t>
  </si>
  <si>
    <t xml:space="preserve">     Discussion of results from the spreadsheet analysis. </t>
  </si>
  <si>
    <t xml:space="preserve">     A copy of the any auxiliary documents that are used in your analysis. It will be sufficient to provide</t>
  </si>
  <si>
    <t xml:space="preserve">     a link to the web location where this can be found. </t>
  </si>
  <si>
    <t xml:space="preserve">In addition, answer the following questions: </t>
  </si>
  <si>
    <t xml:space="preserve">     Discuss other factors, which you have not explicitly taken into account in your spreadsheet</t>
  </si>
  <si>
    <t xml:space="preserve">     analysis, which affect your recommendation. </t>
  </si>
  <si>
    <t xml:space="preserve">     dispossess bondholders in favor of stockholders. (Include events where the main objective might</t>
  </si>
  <si>
    <t xml:space="preserve">     have been a legitimate one, but which nevertheless had as a side objective, the transfer of wealth</t>
  </si>
  <si>
    <t xml:space="preserve">     from bondholders to stockholders.) </t>
  </si>
  <si>
    <t>You can find 10 years worth of financial statement information on Robert Mondavi Corporation (traded on the</t>
  </si>
  <si>
    <t>itself or from other websites, such as the SEC Database. Use this information to analyse Robert Mondavi's capital</t>
  </si>
  <si>
    <t xml:space="preserve">     Discuss the nature of Robert Mondavi's assets, from the viewpoint of its optimal capital structure. </t>
  </si>
  <si>
    <t xml:space="preserve">     Do you see any management actions in Robert Mondavi's history that might be interpreted as attempts to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</si>
</sst>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2"/>
    </font>
    <font>
      <sz val="10"/>
      <name val="Tms Rmn"/>
      <family val="0"/>
    </font>
    <font>
      <sz val="10"/>
      <name val="Geneva"/>
      <family val="0"/>
    </font>
    <font>
      <i/>
      <sz val="10"/>
      <name val="Tms Rmn"/>
      <family val="0"/>
    </font>
    <font>
      <b/>
      <i/>
      <sz val="10"/>
      <name val="Tms Rmn"/>
      <family val="0"/>
    </font>
    <font>
      <b/>
      <sz val="10"/>
      <name val="Tms Rmn"/>
      <family val="0"/>
    </font>
    <font>
      <sz val="12"/>
      <name val="Tms Rmn"/>
      <family val="0"/>
    </font>
    <font>
      <b/>
      <sz val="14"/>
      <name val="Geneva"/>
      <family val="0"/>
    </font>
    <font>
      <b/>
      <sz val="10"/>
      <name val="Geneva"/>
      <family val="0"/>
    </font>
    <font>
      <sz val="9"/>
      <color indexed="10"/>
      <name val="Geneva"/>
      <family val="0"/>
    </font>
    <font>
      <b/>
      <sz val="11"/>
      <name val="Arial"/>
      <family val="2"/>
    </font>
    <font>
      <u val="single"/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centerContinuous"/>
    </xf>
    <xf numFmtId="0" fontId="5" fillId="0" borderId="3" xfId="0" applyFont="1" applyBorder="1" applyAlignment="1">
      <alignment horizontal="centerContinuous"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44" fontId="5" fillId="0" borderId="4" xfId="17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10" fontId="5" fillId="0" borderId="4" xfId="0" applyNumberFormat="1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4" xfId="0" applyFont="1" applyBorder="1" applyAlignment="1">
      <alignment horizontal="center"/>
    </xf>
    <xf numFmtId="44" fontId="5" fillId="0" borderId="0" xfId="17" applyFont="1" applyAlignment="1">
      <alignment horizontal="center"/>
    </xf>
    <xf numFmtId="10" fontId="5" fillId="0" borderId="4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10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9" fontId="5" fillId="0" borderId="0" xfId="0" applyNumberFormat="1" applyFont="1" applyAlignment="1">
      <alignment/>
    </xf>
    <xf numFmtId="9" fontId="5" fillId="0" borderId="0" xfId="19" applyFont="1" applyAlignment="1">
      <alignment/>
    </xf>
    <xf numFmtId="2" fontId="7" fillId="0" borderId="0" xfId="0" applyNumberFormat="1" applyFont="1" applyAlignment="1">
      <alignment horizontal="left"/>
    </xf>
    <xf numFmtId="2" fontId="5" fillId="0" borderId="0" xfId="0" applyNumberFormat="1" applyFont="1" applyAlignment="1">
      <alignment horizontal="left"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0" xfId="0" applyFont="1" applyBorder="1" applyAlignment="1">
      <alignment/>
    </xf>
    <xf numFmtId="6" fontId="5" fillId="0" borderId="0" xfId="0" applyNumberFormat="1" applyFont="1" applyBorder="1" applyAlignment="1">
      <alignment horizontal="center"/>
    </xf>
    <xf numFmtId="6" fontId="5" fillId="0" borderId="9" xfId="0" applyNumberFormat="1" applyFont="1" applyBorder="1" applyAlignment="1">
      <alignment horizontal="center"/>
    </xf>
    <xf numFmtId="10" fontId="5" fillId="0" borderId="0" xfId="0" applyNumberFormat="1" applyFont="1" applyBorder="1" applyAlignment="1">
      <alignment horizontal="center"/>
    </xf>
    <xf numFmtId="10" fontId="5" fillId="0" borderId="9" xfId="0" applyNumberFormat="1" applyFont="1" applyBorder="1" applyAlignment="1">
      <alignment horizontal="center"/>
    </xf>
    <xf numFmtId="5" fontId="5" fillId="0" borderId="9" xfId="17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10" fontId="5" fillId="0" borderId="11" xfId="0" applyNumberFormat="1" applyFont="1" applyBorder="1" applyAlignment="1">
      <alignment horizontal="center"/>
    </xf>
    <xf numFmtId="8" fontId="5" fillId="0" borderId="12" xfId="0" applyNumberFormat="1" applyFont="1" applyBorder="1" applyAlignment="1">
      <alignment horizontal="center"/>
    </xf>
    <xf numFmtId="0" fontId="8" fillId="0" borderId="5" xfId="0" applyFont="1" applyBorder="1" applyAlignment="1">
      <alignment horizontal="centerContinuous"/>
    </xf>
    <xf numFmtId="0" fontId="5" fillId="0" borderId="6" xfId="0" applyFont="1" applyBorder="1" applyAlignment="1">
      <alignment horizontal="centerContinuous"/>
    </xf>
    <xf numFmtId="0" fontId="5" fillId="0" borderId="7" xfId="0" applyFont="1" applyBorder="1" applyAlignment="1">
      <alignment horizontal="centerContinuous"/>
    </xf>
    <xf numFmtId="0" fontId="7" fillId="0" borderId="8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10" fontId="5" fillId="0" borderId="13" xfId="0" applyNumberFormat="1" applyFont="1" applyBorder="1" applyAlignment="1">
      <alignment horizontal="center"/>
    </xf>
    <xf numFmtId="10" fontId="5" fillId="0" borderId="14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4" fontId="5" fillId="0" borderId="14" xfId="0" applyNumberFormat="1" applyFont="1" applyBorder="1" applyAlignment="1">
      <alignment horizontal="center"/>
    </xf>
    <xf numFmtId="6" fontId="5" fillId="0" borderId="13" xfId="0" applyNumberFormat="1" applyFont="1" applyBorder="1" applyAlignment="1">
      <alignment horizontal="center"/>
    </xf>
    <xf numFmtId="6" fontId="5" fillId="0" borderId="13" xfId="17" applyNumberFormat="1" applyFont="1" applyBorder="1" applyAlignment="1">
      <alignment horizontal="center"/>
    </xf>
    <xf numFmtId="6" fontId="5" fillId="0" borderId="14" xfId="0" applyNumberFormat="1" applyFont="1" applyBorder="1" applyAlignment="1">
      <alignment horizontal="center"/>
    </xf>
    <xf numFmtId="5" fontId="5" fillId="0" borderId="14" xfId="0" applyNumberFormat="1" applyFont="1" applyBorder="1" applyAlignment="1">
      <alignment horizontal="center"/>
    </xf>
    <xf numFmtId="44" fontId="5" fillId="0" borderId="13" xfId="17" applyFont="1" applyBorder="1" applyAlignment="1">
      <alignment horizontal="center"/>
    </xf>
    <xf numFmtId="44" fontId="5" fillId="0" borderId="14" xfId="17" applyFont="1" applyBorder="1" applyAlignment="1">
      <alignment horizontal="center"/>
    </xf>
    <xf numFmtId="7" fontId="5" fillId="0" borderId="15" xfId="0" applyNumberFormat="1" applyFont="1" applyBorder="1" applyAlignment="1">
      <alignment horizontal="center"/>
    </xf>
    <xf numFmtId="7" fontId="5" fillId="0" borderId="16" xfId="0" applyNumberFormat="1" applyFont="1" applyBorder="1" applyAlignment="1">
      <alignment horizontal="center"/>
    </xf>
    <xf numFmtId="0" fontId="7" fillId="0" borderId="17" xfId="0" applyFont="1" applyBorder="1" applyAlignment="1">
      <alignment horizontal="centerContinuous"/>
    </xf>
    <xf numFmtId="0" fontId="7" fillId="0" borderId="18" xfId="0" applyFont="1" applyBorder="1" applyAlignment="1">
      <alignment horizontal="centerContinuous"/>
    </xf>
    <xf numFmtId="0" fontId="7" fillId="0" borderId="19" xfId="0" applyFont="1" applyBorder="1" applyAlignment="1">
      <alignment horizontal="centerContinuous"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/>
    </xf>
    <xf numFmtId="0" fontId="5" fillId="0" borderId="13" xfId="0" applyFont="1" applyBorder="1" applyAlignment="1">
      <alignment/>
    </xf>
    <xf numFmtId="2" fontId="5" fillId="0" borderId="4" xfId="0" applyNumberFormat="1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0" fontId="5" fillId="0" borderId="25" xfId="0" applyNumberFormat="1" applyFont="1" applyBorder="1" applyAlignment="1">
      <alignment/>
    </xf>
    <xf numFmtId="2" fontId="5" fillId="0" borderId="24" xfId="0" applyNumberFormat="1" applyFont="1" applyBorder="1" applyAlignment="1">
      <alignment/>
    </xf>
    <xf numFmtId="0" fontId="5" fillId="0" borderId="24" xfId="0" applyNumberFormat="1" applyFont="1" applyBorder="1" applyAlignment="1">
      <alignment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29" xfId="0" applyNumberFormat="1" applyFont="1" applyBorder="1" applyAlignment="1">
      <alignment/>
    </xf>
    <xf numFmtId="10" fontId="5" fillId="0" borderId="30" xfId="0" applyNumberFormat="1" applyFont="1" applyBorder="1" applyAlignment="1">
      <alignment/>
    </xf>
    <xf numFmtId="2" fontId="9" fillId="0" borderId="0" xfId="0" applyNumberFormat="1" applyFont="1" applyBorder="1" applyAlignment="1">
      <alignment horizontal="center"/>
    </xf>
    <xf numFmtId="10" fontId="5" fillId="0" borderId="0" xfId="0" applyNumberFormat="1" applyFont="1" applyBorder="1" applyAlignment="1">
      <alignment horizontal="left"/>
    </xf>
    <xf numFmtId="6" fontId="9" fillId="0" borderId="0" xfId="0" applyNumberFormat="1" applyFont="1" applyBorder="1" applyAlignment="1">
      <alignment horizontal="center"/>
    </xf>
    <xf numFmtId="10" fontId="9" fillId="0" borderId="0" xfId="0" applyNumberFormat="1" applyFont="1" applyBorder="1" applyAlignment="1">
      <alignment horizontal="center"/>
    </xf>
    <xf numFmtId="0" fontId="5" fillId="0" borderId="31" xfId="0" applyFont="1" applyBorder="1" applyAlignment="1">
      <alignment/>
    </xf>
    <xf numFmtId="10" fontId="5" fillId="0" borderId="32" xfId="0" applyNumberFormat="1" applyFont="1" applyBorder="1" applyAlignment="1">
      <alignment horizontal="center"/>
    </xf>
    <xf numFmtId="10" fontId="8" fillId="0" borderId="32" xfId="0" applyNumberFormat="1" applyFont="1" applyBorder="1" applyAlignment="1">
      <alignment horizontal="center"/>
    </xf>
    <xf numFmtId="10" fontId="5" fillId="0" borderId="33" xfId="0" applyNumberFormat="1" applyFont="1" applyBorder="1" applyAlignment="1">
      <alignment horizontal="center"/>
    </xf>
    <xf numFmtId="0" fontId="5" fillId="0" borderId="34" xfId="0" applyFont="1" applyBorder="1" applyAlignment="1">
      <alignment horizontal="left"/>
    </xf>
    <xf numFmtId="10" fontId="5" fillId="0" borderId="35" xfId="0" applyNumberFormat="1" applyFont="1" applyBorder="1" applyAlignment="1">
      <alignment horizontal="center"/>
    </xf>
    <xf numFmtId="5" fontId="5" fillId="0" borderId="13" xfId="0" applyNumberFormat="1" applyFont="1" applyBorder="1" applyAlignment="1">
      <alignment horizontal="center"/>
    </xf>
    <xf numFmtId="5" fontId="5" fillId="0" borderId="35" xfId="0" applyNumberFormat="1" applyFont="1" applyBorder="1" applyAlignment="1">
      <alignment horizontal="center"/>
    </xf>
    <xf numFmtId="2" fontId="5" fillId="0" borderId="35" xfId="0" applyNumberFormat="1" applyFont="1" applyBorder="1" applyAlignment="1">
      <alignment horizontal="center"/>
    </xf>
    <xf numFmtId="10" fontId="5" fillId="0" borderId="13" xfId="19" applyNumberFormat="1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left"/>
    </xf>
    <xf numFmtId="10" fontId="5" fillId="0" borderId="37" xfId="0" applyNumberFormat="1" applyFont="1" applyBorder="1" applyAlignment="1">
      <alignment horizontal="center"/>
    </xf>
    <xf numFmtId="10" fontId="5" fillId="0" borderId="38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31" xfId="0" applyFont="1" applyBorder="1" applyAlignment="1">
      <alignment horizontal="left"/>
    </xf>
    <xf numFmtId="0" fontId="5" fillId="0" borderId="39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10" fontId="5" fillId="0" borderId="34" xfId="0" applyNumberFormat="1" applyFont="1" applyBorder="1" applyAlignment="1">
      <alignment horizontal="left"/>
    </xf>
    <xf numFmtId="0" fontId="5" fillId="0" borderId="41" xfId="0" applyFont="1" applyBorder="1" applyAlignment="1">
      <alignment horizontal="left"/>
    </xf>
    <xf numFmtId="10" fontId="5" fillId="0" borderId="42" xfId="0" applyNumberFormat="1" applyFont="1" applyBorder="1" applyAlignment="1">
      <alignment horizontal="center"/>
    </xf>
    <xf numFmtId="10" fontId="5" fillId="0" borderId="43" xfId="0" applyNumberFormat="1" applyFont="1" applyBorder="1" applyAlignment="1">
      <alignment horizontal="center"/>
    </xf>
    <xf numFmtId="0" fontId="5" fillId="0" borderId="23" xfId="0" applyFont="1" applyBorder="1" applyAlignment="1">
      <alignment horizontal="left"/>
    </xf>
    <xf numFmtId="5" fontId="5" fillId="0" borderId="13" xfId="17" applyNumberFormat="1" applyFont="1" applyBorder="1" applyAlignment="1">
      <alignment horizontal="center"/>
    </xf>
    <xf numFmtId="0" fontId="5" fillId="0" borderId="28" xfId="0" applyFont="1" applyBorder="1" applyAlignment="1">
      <alignment horizontal="left"/>
    </xf>
    <xf numFmtId="5" fontId="5" fillId="0" borderId="44" xfId="0" applyNumberFormat="1" applyFont="1" applyBorder="1" applyAlignment="1">
      <alignment horizontal="center"/>
    </xf>
    <xf numFmtId="5" fontId="5" fillId="0" borderId="0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10" fontId="5" fillId="0" borderId="24" xfId="0" applyNumberFormat="1" applyFont="1" applyBorder="1" applyAlignment="1">
      <alignment horizontal="center"/>
    </xf>
    <xf numFmtId="10" fontId="5" fillId="0" borderId="0" xfId="19" applyNumberFormat="1" applyFont="1" applyAlignment="1">
      <alignment/>
    </xf>
    <xf numFmtId="9" fontId="5" fillId="0" borderId="4" xfId="0" applyNumberFormat="1" applyFont="1" applyBorder="1" applyAlignment="1">
      <alignment horizontal="center"/>
    </xf>
    <xf numFmtId="5" fontId="5" fillId="0" borderId="4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5" fillId="0" borderId="4" xfId="0" applyFont="1" applyBorder="1" applyAlignment="1">
      <alignment/>
    </xf>
    <xf numFmtId="0" fontId="6" fillId="0" borderId="4" xfId="0" applyFont="1" applyBorder="1" applyAlignment="1">
      <alignment/>
    </xf>
    <xf numFmtId="6" fontId="6" fillId="0" borderId="4" xfId="0" applyNumberFormat="1" applyFont="1" applyBorder="1" applyAlignment="1">
      <alignment/>
    </xf>
    <xf numFmtId="43" fontId="6" fillId="0" borderId="4" xfId="15" applyFont="1" applyBorder="1" applyAlignment="1">
      <alignment/>
    </xf>
    <xf numFmtId="6" fontId="6" fillId="0" borderId="4" xfId="17" applyNumberFormat="1" applyFont="1" applyBorder="1" applyAlignment="1">
      <alignment/>
    </xf>
    <xf numFmtId="0" fontId="10" fillId="0" borderId="0" xfId="0" applyFont="1" applyAlignment="1">
      <alignment/>
    </xf>
    <xf numFmtId="3" fontId="5" fillId="0" borderId="4" xfId="0" applyNumberFormat="1" applyFont="1" applyBorder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10" fontId="0" fillId="0" borderId="0" xfId="0" applyNumberFormat="1" applyAlignment="1">
      <alignment/>
    </xf>
    <xf numFmtId="10" fontId="0" fillId="0" borderId="0" xfId="0" applyNumberFormat="1" applyAlignment="1">
      <alignment horizontal="right"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Firm Value, WACC and Debt Ratios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1425"/>
          <c:w val="0.8115"/>
          <c:h val="0.845"/>
        </c:manualLayout>
      </c:layout>
      <c:lineChart>
        <c:grouping val="standard"/>
        <c:varyColors val="0"/>
        <c:ser>
          <c:idx val="0"/>
          <c:order val="0"/>
          <c:tx>
            <c:strRef>
              <c:f>'[1]CapStrucA'!$E$178</c:f>
              <c:strCache>
                <c:ptCount val="1"/>
                <c:pt idx="0">
                  <c:v>WACC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'[1]CapStrucA'!$B$179:$B$188</c:f>
              <c:numCache>
                <c:ptCount val="10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</c:numCache>
            </c:numRef>
          </c:cat>
          <c:val>
            <c:numRef>
              <c:f>'[1]CapStrucA'!$E$179:$E$188</c:f>
              <c:numCache>
                <c:ptCount val="10"/>
                <c:pt idx="0">
                  <c:v>0.10255524389319425</c:v>
                </c:pt>
                <c:pt idx="1">
                  <c:v>0.09873858938135965</c:v>
                </c:pt>
                <c:pt idx="2">
                  <c:v>0.0949219348695251</c:v>
                </c:pt>
                <c:pt idx="3">
                  <c:v>0.0928437803576905</c:v>
                </c:pt>
                <c:pt idx="4">
                  <c:v>0.09631662584585594</c:v>
                </c:pt>
                <c:pt idx="5">
                  <c:v>0.11448771110205475</c:v>
                </c:pt>
                <c:pt idx="6">
                  <c:v>0.1238430471531268</c:v>
                </c:pt>
                <c:pt idx="7">
                  <c:v>0.14897171781236582</c:v>
                </c:pt>
                <c:pt idx="8">
                  <c:v>0.18289158682647838</c:v>
                </c:pt>
                <c:pt idx="9">
                  <c:v>0.1954260300284621</c:v>
                </c:pt>
              </c:numCache>
            </c:numRef>
          </c:val>
          <c:smooth val="0"/>
        </c:ser>
        <c:marker val="1"/>
        <c:axId val="43652108"/>
        <c:axId val="57324653"/>
      </c:lineChart>
      <c:lineChart>
        <c:grouping val="standard"/>
        <c:varyColors val="0"/>
        <c:ser>
          <c:idx val="1"/>
          <c:order val="1"/>
          <c:tx>
            <c:strRef>
              <c:f>'[1]CapStrucA'!$F$178</c:f>
              <c:strCache>
                <c:ptCount val="1"/>
                <c:pt idx="0">
                  <c:v>Firm Value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'[1]CapStrucA'!$B$179:$B$188</c:f>
              <c:numCache>
                <c:ptCount val="10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</c:numCache>
            </c:numRef>
          </c:cat>
          <c:val>
            <c:numRef>
              <c:f>'[1]CapStrucA'!$F$179:$F$188</c:f>
              <c:numCache>
                <c:ptCount val="10"/>
                <c:pt idx="0">
                  <c:v>669814.6098869203</c:v>
                </c:pt>
                <c:pt idx="1">
                  <c:v>691261.1930854041</c:v>
                </c:pt>
                <c:pt idx="2">
                  <c:v>687741.7569830737</c:v>
                </c:pt>
                <c:pt idx="3">
                  <c:v>660052.544533259</c:v>
                </c:pt>
                <c:pt idx="4">
                  <c:v>575249.1873829727</c:v>
                </c:pt>
                <c:pt idx="5">
                  <c:v>497791.57940930664</c:v>
                </c:pt>
                <c:pt idx="6">
                  <c:v>465519.6722178492</c:v>
                </c:pt>
                <c:pt idx="7">
                  <c:v>374018.65680253773</c:v>
                </c:pt>
                <c:pt idx="8">
                  <c:v>311631.5223109499</c:v>
                </c:pt>
                <c:pt idx="9">
                  <c:v>293538.24082944205</c:v>
                </c:pt>
              </c:numCache>
            </c:numRef>
          </c:val>
          <c:smooth val="0"/>
        </c:ser>
        <c:marker val="1"/>
        <c:axId val="46159830"/>
        <c:axId val="12785287"/>
      </c:lineChart>
      <c:catAx>
        <c:axId val="436521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Debt Ratio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7324653"/>
        <c:crosses val="autoZero"/>
        <c:auto val="0"/>
        <c:lblOffset val="100"/>
        <c:noMultiLvlLbl val="0"/>
      </c:catAx>
      <c:valAx>
        <c:axId val="573246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WACC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3652108"/>
        <c:crossesAt val="1"/>
        <c:crossBetween val="between"/>
        <c:dispUnits/>
      </c:valAx>
      <c:catAx>
        <c:axId val="46159830"/>
        <c:scaling>
          <c:orientation val="minMax"/>
        </c:scaling>
        <c:axPos val="b"/>
        <c:delete val="1"/>
        <c:majorTickMark val="in"/>
        <c:minorTickMark val="none"/>
        <c:tickLblPos val="nextTo"/>
        <c:crossAx val="12785287"/>
        <c:crosses val="autoZero"/>
        <c:auto val="0"/>
        <c:lblOffset val="100"/>
        <c:noMultiLvlLbl val="0"/>
      </c:catAx>
      <c:valAx>
        <c:axId val="127852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Firm Value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6159830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525"/>
          <c:y val="-0.01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"/>
          <c:y val="0.199"/>
          <c:w val="0.7855"/>
          <c:h val="0.75125"/>
        </c:manualLayout>
      </c:layout>
      <c:lineChart>
        <c:grouping val="standard"/>
        <c:varyColors val="0"/>
        <c:ser>
          <c:idx val="0"/>
          <c:order val="0"/>
          <c:tx>
            <c:strRef>
              <c:f>Analysis!$A$111</c:f>
              <c:strCache>
                <c:ptCount val="1"/>
                <c:pt idx="0">
                  <c:v>Debt Ratio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Analysis!$B$110:$I$110</c:f>
              <c:numCache>
                <c:ptCount val="8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</c:numCache>
            </c:numRef>
          </c:cat>
          <c:val>
            <c:numRef>
              <c:f>Analysis!$B$111:$I$111</c:f>
              <c:numCache>
                <c:ptCount val="8"/>
                <c:pt idx="0">
                  <c:v>0.5683083846641703</c:v>
                </c:pt>
                <c:pt idx="1">
                  <c:v>0.6561631536192227</c:v>
                </c:pt>
                <c:pt idx="2">
                  <c:v>0.46526649648023516</c:v>
                </c:pt>
                <c:pt idx="3">
                  <c:v>0.3445338789798711</c:v>
                </c:pt>
                <c:pt idx="4">
                  <c:v>0.4757028188518346</c:v>
                </c:pt>
                <c:pt idx="5">
                  <c:v>0.3965566981228844</c:v>
                </c:pt>
                <c:pt idx="6">
                  <c:v>0.4168015863389217</c:v>
                </c:pt>
                <c:pt idx="7">
                  <c:v>0.46702690225374577</c:v>
                </c:pt>
              </c:numCache>
            </c:numRef>
          </c:val>
          <c:smooth val="0"/>
        </c:ser>
        <c:axId val="47958720"/>
        <c:axId val="28975297"/>
      </c:lineChart>
      <c:catAx>
        <c:axId val="47958720"/>
        <c:scaling>
          <c:orientation val="minMax"/>
        </c:scaling>
        <c:axPos val="b"/>
        <c:delete val="0"/>
        <c:numFmt formatCode="General" sourceLinked="0"/>
        <c:majorTickMark val="cross"/>
        <c:minorTickMark val="none"/>
        <c:tickLblPos val="nextTo"/>
        <c:crossAx val="28975297"/>
        <c:crosses val="autoZero"/>
        <c:auto val="0"/>
        <c:lblOffset val="100"/>
        <c:noMultiLvlLbl val="0"/>
      </c:catAx>
      <c:valAx>
        <c:axId val="28975297"/>
        <c:scaling>
          <c:orientation val="minMax"/>
        </c:scaling>
        <c:axPos val="l"/>
        <c:delete val="0"/>
        <c:numFmt formatCode="0%" sourceLinked="0"/>
        <c:majorTickMark val="in"/>
        <c:minorTickMark val="none"/>
        <c:tickLblPos val="nextTo"/>
        <c:crossAx val="4795872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825"/>
          <c:y val="0.41325"/>
          <c:w val="0.18825"/>
          <c:h val="0.15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142875</xdr:colOff>
      <xdr:row>36</xdr:row>
      <xdr:rowOff>104775</xdr:rowOff>
    </xdr:to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0</xdr:row>
      <xdr:rowOff>9525</xdr:rowOff>
    </xdr:from>
    <xdr:to>
      <xdr:col>3</xdr:col>
      <xdr:colOff>600075</xdr:colOff>
      <xdr:row>2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9525" y="9525"/>
          <a:ext cx="142875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113</xdr:row>
      <xdr:rowOff>0</xdr:rowOff>
    </xdr:from>
    <xdr:to>
      <xdr:col>7</xdr:col>
      <xdr:colOff>19050</xdr:colOff>
      <xdr:row>125</xdr:row>
      <xdr:rowOff>9525</xdr:rowOff>
    </xdr:to>
    <xdr:graphicFrame>
      <xdr:nvGraphicFramePr>
        <xdr:cNvPr id="1" name="Chart 2"/>
        <xdr:cNvGraphicFramePr/>
      </xdr:nvGraphicFramePr>
      <xdr:xfrm>
        <a:off x="1847850" y="18478500"/>
        <a:ext cx="3724275" cy="195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actic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pStruc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B37"/>
  <sheetViews>
    <sheetView tabSelected="1" workbookViewId="0" topLeftCell="B17">
      <selection activeCell="H32" sqref="H32"/>
    </sheetView>
  </sheetViews>
  <sheetFormatPr defaultColWidth="9.140625" defaultRowHeight="12.75"/>
  <sheetData>
    <row r="3" ht="12.75">
      <c r="B3" t="s">
        <v>353</v>
      </c>
    </row>
    <row r="4" ht="12.75">
      <c r="B4" t="s">
        <v>327</v>
      </c>
    </row>
    <row r="5" ht="12.75">
      <c r="B5" t="s">
        <v>328</v>
      </c>
    </row>
    <row r="6" ht="12.75">
      <c r="B6" t="s">
        <v>329</v>
      </c>
    </row>
    <row r="7" ht="12.75">
      <c r="B7" t="s">
        <v>330</v>
      </c>
    </row>
    <row r="8" ht="12.75">
      <c r="B8" t="s">
        <v>331</v>
      </c>
    </row>
    <row r="9" ht="12.75">
      <c r="B9" t="s">
        <v>354</v>
      </c>
    </row>
    <row r="10" ht="12.75">
      <c r="B10" t="s">
        <v>332</v>
      </c>
    </row>
    <row r="12" ht="12.75">
      <c r="B12" t="s">
        <v>333</v>
      </c>
    </row>
    <row r="13" ht="12.75">
      <c r="B13" t="s">
        <v>334</v>
      </c>
    </row>
    <row r="14" ht="12.75">
      <c r="B14" t="s">
        <v>335</v>
      </c>
    </row>
    <row r="15" ht="12.75">
      <c r="B15" t="s">
        <v>336</v>
      </c>
    </row>
    <row r="16" ht="12.75">
      <c r="B16" t="s">
        <v>337</v>
      </c>
    </row>
    <row r="18" ht="12.75">
      <c r="B18" t="s">
        <v>338</v>
      </c>
    </row>
    <row r="19" ht="12.75">
      <c r="B19" t="s">
        <v>339</v>
      </c>
    </row>
    <row r="20" ht="12.75">
      <c r="B20" t="s">
        <v>340</v>
      </c>
    </row>
    <row r="21" ht="12.75">
      <c r="B21" t="s">
        <v>341</v>
      </c>
    </row>
    <row r="23" ht="12.75">
      <c r="B23" t="s">
        <v>342</v>
      </c>
    </row>
    <row r="24" ht="12.75">
      <c r="B24" t="s">
        <v>343</v>
      </c>
    </row>
    <row r="25" ht="12.75">
      <c r="B25" t="s">
        <v>344</v>
      </c>
    </row>
    <row r="26" ht="12.75">
      <c r="B26" t="s">
        <v>345</v>
      </c>
    </row>
    <row r="27" ht="12.75">
      <c r="B27" t="s">
        <v>346</v>
      </c>
    </row>
    <row r="29" ht="12.75">
      <c r="B29" t="s">
        <v>347</v>
      </c>
    </row>
    <row r="31" ht="12.75">
      <c r="B31" t="s">
        <v>348</v>
      </c>
    </row>
    <row r="32" ht="12.75">
      <c r="B32" t="s">
        <v>349</v>
      </c>
    </row>
    <row r="33" ht="12.75">
      <c r="B33" t="s">
        <v>355</v>
      </c>
    </row>
    <row r="34" ht="12.75">
      <c r="B34" t="s">
        <v>356</v>
      </c>
    </row>
    <row r="35" ht="12.75">
      <c r="B35" t="s">
        <v>350</v>
      </c>
    </row>
    <row r="36" ht="12.75">
      <c r="B36" t="s">
        <v>351</v>
      </c>
    </row>
    <row r="37" ht="12.75">
      <c r="B37" t="s">
        <v>352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:IV16384"/>
    </sheetView>
  </sheetViews>
  <sheetFormatPr defaultColWidth="9.140625" defaultRowHeight="12.75"/>
  <sheetData/>
  <printOptions/>
  <pageMargins left="0.75" right="0.75" top="0.75" bottom="1" header="0.5" footer="0.5"/>
  <pageSetup fitToHeight="1" fitToWidth="1" orientation="landscape" scale="90" r:id="rId2"/>
  <headerFooter alignWithMargins="0">
    <oddFooter>&amp;R&amp;8Project_2
Ma/Chiu/Donovan/Huang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B5"/>
  <sheetViews>
    <sheetView workbookViewId="0" topLeftCell="A1">
      <selection activeCell="B2" sqref="B2"/>
    </sheetView>
  </sheetViews>
  <sheetFormatPr defaultColWidth="9.140625" defaultRowHeight="12.75"/>
  <cols>
    <col min="1" max="1" width="9.00390625" style="143" customWidth="1"/>
    <col min="2" max="16384" width="9.140625" style="143" customWidth="1"/>
  </cols>
  <sheetData>
    <row r="2" ht="12.75">
      <c r="B2" s="143" t="s">
        <v>324</v>
      </c>
    </row>
    <row r="4" ht="12.75">
      <c r="B4" s="143" t="s">
        <v>325</v>
      </c>
    </row>
    <row r="5" ht="12.75">
      <c r="B5" s="143" t="s">
        <v>326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8:AR110"/>
  <sheetViews>
    <sheetView workbookViewId="0" topLeftCell="A11">
      <selection activeCell="B97" sqref="B97"/>
    </sheetView>
  </sheetViews>
  <sheetFormatPr defaultColWidth="13.140625" defaultRowHeight="12.75"/>
  <cols>
    <col min="1" max="1" width="43.421875" style="1" customWidth="1"/>
    <col min="2" max="44" width="13.140625" style="2" customWidth="1"/>
  </cols>
  <sheetData>
    <row r="1" ht="12.75"/>
    <row r="2" ht="12.75"/>
    <row r="3" ht="12.75"/>
    <row r="8" ht="12.75">
      <c r="A8" s="1" t="s">
        <v>0</v>
      </c>
    </row>
    <row r="9" ht="12.75">
      <c r="A9" s="1" t="s">
        <v>1</v>
      </c>
    </row>
    <row r="10" ht="12.75">
      <c r="A10" s="1" t="s">
        <v>2</v>
      </c>
    </row>
    <row r="11" ht="12.75">
      <c r="A11" s="1" t="s">
        <v>3</v>
      </c>
    </row>
    <row r="12" ht="12.75">
      <c r="A12" s="1" t="s">
        <v>4</v>
      </c>
    </row>
    <row r="13" spans="1:44" ht="12.75">
      <c r="A13" s="1" t="s">
        <v>5</v>
      </c>
      <c r="B13" s="3">
        <v>35976</v>
      </c>
      <c r="C13" s="3">
        <v>35611</v>
      </c>
      <c r="D13" s="3">
        <v>35246</v>
      </c>
      <c r="E13" s="3">
        <v>34880</v>
      </c>
      <c r="F13" s="3">
        <v>34515</v>
      </c>
      <c r="G13" s="3">
        <v>34150</v>
      </c>
      <c r="H13" s="3">
        <v>33785</v>
      </c>
      <c r="I13" s="3">
        <v>33419</v>
      </c>
      <c r="J13" s="3">
        <v>33054</v>
      </c>
      <c r="K13" s="4" t="s">
        <v>2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</row>
    <row r="14" spans="1:11" ht="12.75">
      <c r="A14" s="1" t="s">
        <v>6</v>
      </c>
      <c r="B14" s="5">
        <v>2683</v>
      </c>
      <c r="C14" s="2">
        <v>150</v>
      </c>
      <c r="D14" s="2" t="s">
        <v>7</v>
      </c>
      <c r="E14" s="2">
        <v>900</v>
      </c>
      <c r="F14" s="2">
        <v>393</v>
      </c>
      <c r="G14" s="2">
        <v>255</v>
      </c>
      <c r="H14" s="2">
        <v>560</v>
      </c>
      <c r="I14" s="5">
        <v>1018</v>
      </c>
      <c r="J14" s="2" t="s">
        <v>7</v>
      </c>
      <c r="K14" s="2" t="s">
        <v>2</v>
      </c>
    </row>
    <row r="15" spans="1:11" ht="12.75">
      <c r="A15" s="1" t="s">
        <v>8</v>
      </c>
      <c r="B15" s="2" t="s">
        <v>7</v>
      </c>
      <c r="C15" s="2" t="s">
        <v>7</v>
      </c>
      <c r="D15" s="2" t="s">
        <v>7</v>
      </c>
      <c r="E15" s="2" t="s">
        <v>7</v>
      </c>
      <c r="F15" s="2" t="s">
        <v>7</v>
      </c>
      <c r="G15" s="2" t="s">
        <v>7</v>
      </c>
      <c r="H15" s="2" t="s">
        <v>7</v>
      </c>
      <c r="I15" s="2" t="s">
        <v>7</v>
      </c>
      <c r="J15" s="2" t="s">
        <v>7</v>
      </c>
      <c r="K15" s="2" t="s">
        <v>2</v>
      </c>
    </row>
    <row r="16" spans="1:11" ht="12.75">
      <c r="A16" s="1" t="s">
        <v>9</v>
      </c>
      <c r="B16" s="5">
        <v>68656</v>
      </c>
      <c r="C16" s="5">
        <v>59222</v>
      </c>
      <c r="D16" s="5">
        <v>39495</v>
      </c>
      <c r="E16" s="5">
        <v>32601</v>
      </c>
      <c r="F16" s="5">
        <v>32100</v>
      </c>
      <c r="G16" s="5">
        <v>34666</v>
      </c>
      <c r="H16" s="5">
        <v>24685</v>
      </c>
      <c r="I16" s="5">
        <v>17079</v>
      </c>
      <c r="J16" s="2" t="s">
        <v>7</v>
      </c>
      <c r="K16" s="2" t="s">
        <v>2</v>
      </c>
    </row>
    <row r="17" spans="1:11" ht="12.75">
      <c r="A17" s="1" t="s">
        <v>10</v>
      </c>
      <c r="B17" s="5">
        <v>226141</v>
      </c>
      <c r="C17" s="5">
        <v>167695</v>
      </c>
      <c r="D17" s="5">
        <v>142565</v>
      </c>
      <c r="E17" s="5">
        <v>113375</v>
      </c>
      <c r="F17" s="5">
        <v>96145</v>
      </c>
      <c r="G17" s="5">
        <v>85768</v>
      </c>
      <c r="H17" s="5">
        <v>78890</v>
      </c>
      <c r="I17" s="5">
        <v>67499</v>
      </c>
      <c r="J17" s="2" t="s">
        <v>7</v>
      </c>
      <c r="K17" s="2" t="s">
        <v>2</v>
      </c>
    </row>
    <row r="18" spans="1:11" ht="12.75">
      <c r="A18" s="1" t="s">
        <v>11</v>
      </c>
      <c r="B18" s="2" t="s">
        <v>7</v>
      </c>
      <c r="C18" s="2" t="s">
        <v>7</v>
      </c>
      <c r="D18" s="2" t="s">
        <v>7</v>
      </c>
      <c r="E18" s="2" t="s">
        <v>7</v>
      </c>
      <c r="F18" s="2" t="s">
        <v>7</v>
      </c>
      <c r="G18" s="2" t="s">
        <v>7</v>
      </c>
      <c r="H18" s="2" t="s">
        <v>7</v>
      </c>
      <c r="I18" s="2" t="s">
        <v>7</v>
      </c>
      <c r="J18" s="2" t="s">
        <v>7</v>
      </c>
      <c r="K18" s="2" t="s">
        <v>2</v>
      </c>
    </row>
    <row r="19" spans="1:11" ht="12.75">
      <c r="A19" s="1" t="s">
        <v>12</v>
      </c>
      <c r="B19" s="2" t="s">
        <v>7</v>
      </c>
      <c r="C19" s="2" t="s">
        <v>7</v>
      </c>
      <c r="D19" s="2" t="s">
        <v>7</v>
      </c>
      <c r="E19" s="2" t="s">
        <v>7</v>
      </c>
      <c r="F19" s="2" t="s">
        <v>7</v>
      </c>
      <c r="G19" s="2" t="s">
        <v>7</v>
      </c>
      <c r="H19" s="2" t="s">
        <v>7</v>
      </c>
      <c r="I19" s="2" t="s">
        <v>7</v>
      </c>
      <c r="J19" s="2" t="s">
        <v>7</v>
      </c>
      <c r="K19" s="2" t="s">
        <v>2</v>
      </c>
    </row>
    <row r="20" spans="1:11" ht="12.75">
      <c r="A20" s="1" t="s">
        <v>13</v>
      </c>
      <c r="B20" s="2" t="s">
        <v>7</v>
      </c>
      <c r="C20" s="2" t="s">
        <v>7</v>
      </c>
      <c r="D20" s="2" t="s">
        <v>7</v>
      </c>
      <c r="E20" s="2" t="s">
        <v>7</v>
      </c>
      <c r="F20" s="2" t="s">
        <v>7</v>
      </c>
      <c r="G20" s="2" t="s">
        <v>7</v>
      </c>
      <c r="H20" s="2" t="s">
        <v>7</v>
      </c>
      <c r="I20" s="2" t="s">
        <v>7</v>
      </c>
      <c r="J20" s="2" t="s">
        <v>7</v>
      </c>
      <c r="K20" s="2" t="s">
        <v>2</v>
      </c>
    </row>
    <row r="21" spans="1:11" ht="12.75">
      <c r="A21" s="1" t="s">
        <v>14</v>
      </c>
      <c r="B21" s="2" t="s">
        <v>7</v>
      </c>
      <c r="C21" s="2" t="s">
        <v>7</v>
      </c>
      <c r="D21" s="2" t="s">
        <v>7</v>
      </c>
      <c r="E21" s="2" t="s">
        <v>7</v>
      </c>
      <c r="F21" s="2" t="s">
        <v>7</v>
      </c>
      <c r="G21" s="2" t="s">
        <v>7</v>
      </c>
      <c r="H21" s="2" t="s">
        <v>7</v>
      </c>
      <c r="I21" s="2">
        <v>576</v>
      </c>
      <c r="J21" s="2" t="s">
        <v>7</v>
      </c>
      <c r="K21" s="2" t="s">
        <v>2</v>
      </c>
    </row>
    <row r="22" spans="1:11" ht="12.75">
      <c r="A22" s="1" t="s">
        <v>15</v>
      </c>
      <c r="B22" s="5">
        <v>10366</v>
      </c>
      <c r="C22" s="5">
        <v>7270</v>
      </c>
      <c r="D22" s="5">
        <v>3780</v>
      </c>
      <c r="E22" s="2">
        <v>886</v>
      </c>
      <c r="F22" s="2">
        <v>688</v>
      </c>
      <c r="G22" s="5">
        <v>1212</v>
      </c>
      <c r="H22" s="5">
        <v>2185</v>
      </c>
      <c r="I22" s="5">
        <v>1869</v>
      </c>
      <c r="J22" s="2" t="s">
        <v>7</v>
      </c>
      <c r="K22" s="2" t="s">
        <v>2</v>
      </c>
    </row>
    <row r="23" spans="1:11" ht="12.75">
      <c r="A23" s="1" t="s">
        <v>16</v>
      </c>
      <c r="B23" s="5">
        <v>307846</v>
      </c>
      <c r="C23" s="5">
        <v>234337</v>
      </c>
      <c r="D23" s="5">
        <v>185840</v>
      </c>
      <c r="E23" s="5">
        <v>147762</v>
      </c>
      <c r="F23" s="5">
        <v>129326</v>
      </c>
      <c r="G23" s="5">
        <v>121901</v>
      </c>
      <c r="H23" s="5">
        <v>106320</v>
      </c>
      <c r="I23" s="5">
        <v>88041</v>
      </c>
      <c r="J23" s="2" t="s">
        <v>7</v>
      </c>
      <c r="K23" s="2" t="s">
        <v>2</v>
      </c>
    </row>
    <row r="24" spans="1:11" ht="12.75">
      <c r="A24" s="1" t="s">
        <v>17</v>
      </c>
      <c r="B24" s="5">
        <v>215301</v>
      </c>
      <c r="C24" s="5">
        <v>186990</v>
      </c>
      <c r="D24" s="5">
        <v>156754</v>
      </c>
      <c r="E24" s="5">
        <v>120934</v>
      </c>
      <c r="F24" s="5">
        <v>102449</v>
      </c>
      <c r="G24" s="5">
        <v>90874</v>
      </c>
      <c r="H24" s="5">
        <v>76772</v>
      </c>
      <c r="I24" s="5">
        <v>73275</v>
      </c>
      <c r="J24" s="2" t="s">
        <v>7</v>
      </c>
      <c r="K24" s="2" t="s">
        <v>2</v>
      </c>
    </row>
    <row r="25" spans="1:11" ht="12.75">
      <c r="A25" s="1" t="s">
        <v>18</v>
      </c>
      <c r="B25" s="2" t="s">
        <v>7</v>
      </c>
      <c r="C25" s="2" t="s">
        <v>7</v>
      </c>
      <c r="D25" s="2" t="s">
        <v>7</v>
      </c>
      <c r="E25" s="2" t="s">
        <v>7</v>
      </c>
      <c r="F25" s="2" t="s">
        <v>7</v>
      </c>
      <c r="G25" s="2" t="s">
        <v>7</v>
      </c>
      <c r="H25" s="2" t="s">
        <v>7</v>
      </c>
      <c r="I25" s="2" t="s">
        <v>7</v>
      </c>
      <c r="J25" s="2" t="s">
        <v>7</v>
      </c>
      <c r="K25" s="2" t="s">
        <v>2</v>
      </c>
    </row>
    <row r="26" spans="1:11" ht="12.75">
      <c r="A26" s="1" t="s">
        <v>19</v>
      </c>
      <c r="B26" s="5">
        <v>215301</v>
      </c>
      <c r="C26" s="5">
        <v>186990</v>
      </c>
      <c r="D26" s="5">
        <v>156754</v>
      </c>
      <c r="E26" s="5">
        <v>120934</v>
      </c>
      <c r="F26" s="5">
        <v>102449</v>
      </c>
      <c r="G26" s="5">
        <v>90874</v>
      </c>
      <c r="H26" s="5">
        <v>76772</v>
      </c>
      <c r="I26" s="5">
        <v>73275</v>
      </c>
      <c r="J26" s="2" t="s">
        <v>7</v>
      </c>
      <c r="K26" s="2" t="s">
        <v>2</v>
      </c>
    </row>
    <row r="27" spans="1:11" ht="12.75">
      <c r="A27" s="1" t="s">
        <v>20</v>
      </c>
      <c r="B27" s="5">
        <v>19349</v>
      </c>
      <c r="C27" s="5">
        <v>19212</v>
      </c>
      <c r="D27" s="5">
        <v>17100</v>
      </c>
      <c r="E27" s="5">
        <v>11792</v>
      </c>
      <c r="F27" s="5">
        <v>10269</v>
      </c>
      <c r="G27" s="5">
        <v>9406</v>
      </c>
      <c r="H27" s="5">
        <v>10746</v>
      </c>
      <c r="I27" s="5">
        <v>10562</v>
      </c>
      <c r="J27" s="2" t="s">
        <v>7</v>
      </c>
      <c r="K27" s="2" t="s">
        <v>2</v>
      </c>
    </row>
    <row r="28" spans="1:11" ht="12.75">
      <c r="A28" s="1" t="s">
        <v>21</v>
      </c>
      <c r="B28" s="2" t="s">
        <v>7</v>
      </c>
      <c r="C28" s="2" t="s">
        <v>7</v>
      </c>
      <c r="D28" s="2" t="s">
        <v>7</v>
      </c>
      <c r="E28" s="2" t="s">
        <v>7</v>
      </c>
      <c r="F28" s="2" t="s">
        <v>7</v>
      </c>
      <c r="G28" s="2">
        <v>312</v>
      </c>
      <c r="H28" s="5">
        <v>1585</v>
      </c>
      <c r="I28" s="5">
        <v>1881</v>
      </c>
      <c r="J28" s="2" t="s">
        <v>7</v>
      </c>
      <c r="K28" s="2" t="s">
        <v>2</v>
      </c>
    </row>
    <row r="29" spans="1:11" ht="12.75">
      <c r="A29" s="1" t="s">
        <v>22</v>
      </c>
      <c r="B29" s="2" t="s">
        <v>7</v>
      </c>
      <c r="C29" s="2" t="s">
        <v>7</v>
      </c>
      <c r="D29" s="2" t="s">
        <v>7</v>
      </c>
      <c r="E29" s="2" t="s">
        <v>7</v>
      </c>
      <c r="F29" s="2" t="s">
        <v>7</v>
      </c>
      <c r="G29" s="2" t="s">
        <v>7</v>
      </c>
      <c r="H29" s="2" t="s">
        <v>7</v>
      </c>
      <c r="I29" s="2" t="s">
        <v>7</v>
      </c>
      <c r="J29" s="2" t="s">
        <v>7</v>
      </c>
      <c r="K29" s="2" t="s">
        <v>2</v>
      </c>
    </row>
    <row r="30" spans="1:11" ht="12.75">
      <c r="A30" s="1" t="s">
        <v>23</v>
      </c>
      <c r="B30" s="2" t="s">
        <v>7</v>
      </c>
      <c r="C30" s="2" t="s">
        <v>7</v>
      </c>
      <c r="D30" s="2" t="s">
        <v>7</v>
      </c>
      <c r="E30" s="2" t="s">
        <v>7</v>
      </c>
      <c r="F30" s="2" t="s">
        <v>7</v>
      </c>
      <c r="G30" s="2" t="s">
        <v>7</v>
      </c>
      <c r="H30" s="2" t="s">
        <v>7</v>
      </c>
      <c r="I30" s="2" t="s">
        <v>7</v>
      </c>
      <c r="J30" s="2" t="s">
        <v>7</v>
      </c>
      <c r="K30" s="2" t="s">
        <v>2</v>
      </c>
    </row>
    <row r="31" spans="1:11" ht="12.75">
      <c r="A31" s="1" t="s">
        <v>24</v>
      </c>
      <c r="B31" s="5">
        <v>5512</v>
      </c>
      <c r="C31" s="5">
        <v>4386</v>
      </c>
      <c r="D31" s="5">
        <v>1501</v>
      </c>
      <c r="E31" s="5">
        <v>1826</v>
      </c>
      <c r="F31" s="5">
        <v>2192</v>
      </c>
      <c r="G31" s="5">
        <v>1840</v>
      </c>
      <c r="H31" s="5">
        <v>1473</v>
      </c>
      <c r="I31" s="5">
        <v>2446</v>
      </c>
      <c r="J31" s="2" t="s">
        <v>7</v>
      </c>
      <c r="K31" s="2" t="s">
        <v>2</v>
      </c>
    </row>
    <row r="32" spans="1:11" ht="12.75">
      <c r="A32" s="1" t="s">
        <v>25</v>
      </c>
      <c r="B32" s="5">
        <v>548008</v>
      </c>
      <c r="C32" s="5">
        <v>444925</v>
      </c>
      <c r="D32" s="5">
        <v>361195</v>
      </c>
      <c r="E32" s="5">
        <v>282314</v>
      </c>
      <c r="F32" s="5">
        <v>244236</v>
      </c>
      <c r="G32" s="5">
        <v>224333</v>
      </c>
      <c r="H32" s="5">
        <v>196896</v>
      </c>
      <c r="I32" s="5">
        <v>176205</v>
      </c>
      <c r="J32" s="2" t="s">
        <v>7</v>
      </c>
      <c r="K32" s="2" t="s">
        <v>2</v>
      </c>
    </row>
    <row r="33" ht="12.75">
      <c r="A33" s="1" t="s">
        <v>2</v>
      </c>
    </row>
    <row r="34" ht="12.75">
      <c r="A34" s="1" t="s">
        <v>26</v>
      </c>
    </row>
    <row r="35" spans="1:44" ht="12.75">
      <c r="A35" s="1" t="s">
        <v>5</v>
      </c>
      <c r="B35" s="3">
        <v>35976</v>
      </c>
      <c r="C35" s="3">
        <v>35611</v>
      </c>
      <c r="D35" s="3">
        <v>35246</v>
      </c>
      <c r="E35" s="3">
        <v>34880</v>
      </c>
      <c r="F35" s="3">
        <v>34515</v>
      </c>
      <c r="G35" s="3">
        <v>34150</v>
      </c>
      <c r="H35" s="3">
        <v>33785</v>
      </c>
      <c r="I35" s="3">
        <v>33419</v>
      </c>
      <c r="J35" s="3">
        <v>33054</v>
      </c>
      <c r="K35" s="4" t="s">
        <v>2</v>
      </c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</row>
    <row r="36" spans="1:11" ht="12.75">
      <c r="A36" s="1" t="s">
        <v>27</v>
      </c>
      <c r="B36" s="2" t="s">
        <v>7</v>
      </c>
      <c r="C36" s="5">
        <v>8750</v>
      </c>
      <c r="D36" s="2">
        <v>403</v>
      </c>
      <c r="E36" s="2" t="s">
        <v>7</v>
      </c>
      <c r="F36" s="5">
        <v>46200</v>
      </c>
      <c r="G36" s="5">
        <v>1500</v>
      </c>
      <c r="H36" s="2" t="s">
        <v>7</v>
      </c>
      <c r="I36" s="5">
        <v>33170</v>
      </c>
      <c r="J36" s="2" t="s">
        <v>7</v>
      </c>
      <c r="K36" s="2" t="s">
        <v>2</v>
      </c>
    </row>
    <row r="37" spans="1:11" ht="12.75">
      <c r="A37" s="1" t="s">
        <v>28</v>
      </c>
      <c r="B37" s="5">
        <v>18888</v>
      </c>
      <c r="C37" s="5">
        <v>14769</v>
      </c>
      <c r="D37" s="5">
        <v>13733</v>
      </c>
      <c r="E37" s="5">
        <v>9411</v>
      </c>
      <c r="F37" s="5">
        <v>6008</v>
      </c>
      <c r="G37" s="5">
        <v>6879</v>
      </c>
      <c r="H37" s="5">
        <v>6336</v>
      </c>
      <c r="I37" s="5">
        <v>5701</v>
      </c>
      <c r="J37" s="2" t="s">
        <v>7</v>
      </c>
      <c r="K37" s="2" t="s">
        <v>2</v>
      </c>
    </row>
    <row r="38" spans="1:11" ht="12.75">
      <c r="A38" s="1" t="s">
        <v>29</v>
      </c>
      <c r="B38" s="5">
        <v>10984</v>
      </c>
      <c r="C38" s="5">
        <v>6790</v>
      </c>
      <c r="D38" s="5">
        <v>4115</v>
      </c>
      <c r="E38" s="5">
        <v>6071</v>
      </c>
      <c r="F38" s="5">
        <v>5307</v>
      </c>
      <c r="G38" s="5">
        <v>9534</v>
      </c>
      <c r="H38" s="5">
        <v>3803</v>
      </c>
      <c r="I38" s="5">
        <v>3418</v>
      </c>
      <c r="J38" s="2" t="s">
        <v>7</v>
      </c>
      <c r="K38" s="2" t="s">
        <v>2</v>
      </c>
    </row>
    <row r="39" spans="1:11" ht="12.75">
      <c r="A39" s="1" t="s">
        <v>30</v>
      </c>
      <c r="B39" s="2" t="s">
        <v>7</v>
      </c>
      <c r="C39" s="2" t="s">
        <v>7</v>
      </c>
      <c r="D39" s="2" t="s">
        <v>7</v>
      </c>
      <c r="E39" s="2" t="s">
        <v>7</v>
      </c>
      <c r="F39" s="2" t="s">
        <v>7</v>
      </c>
      <c r="G39" s="2" t="s">
        <v>7</v>
      </c>
      <c r="H39" s="2" t="s">
        <v>7</v>
      </c>
      <c r="I39" s="2" t="s">
        <v>7</v>
      </c>
      <c r="J39" s="2" t="s">
        <v>7</v>
      </c>
      <c r="K39" s="2" t="s">
        <v>2</v>
      </c>
    </row>
    <row r="40" spans="1:11" ht="12.75">
      <c r="A40" s="1" t="s">
        <v>31</v>
      </c>
      <c r="B40" s="5">
        <v>7800</v>
      </c>
      <c r="C40" s="5">
        <v>5446</v>
      </c>
      <c r="D40" s="5">
        <v>13150</v>
      </c>
      <c r="E40" s="5">
        <v>11233</v>
      </c>
      <c r="F40" s="5">
        <v>8011</v>
      </c>
      <c r="G40" s="5">
        <v>7919</v>
      </c>
      <c r="H40" s="5">
        <v>9320</v>
      </c>
      <c r="I40" s="5">
        <v>6619</v>
      </c>
      <c r="J40" s="2" t="s">
        <v>7</v>
      </c>
      <c r="K40" s="2" t="s">
        <v>2</v>
      </c>
    </row>
    <row r="41" spans="1:11" ht="12.75">
      <c r="A41" s="1" t="s">
        <v>32</v>
      </c>
      <c r="B41" s="2" t="s">
        <v>7</v>
      </c>
      <c r="C41" s="2" t="s">
        <v>7</v>
      </c>
      <c r="D41" s="2" t="s">
        <v>7</v>
      </c>
      <c r="E41" s="5">
        <v>2655</v>
      </c>
      <c r="F41" s="5">
        <v>2448</v>
      </c>
      <c r="G41" s="5">
        <v>4176</v>
      </c>
      <c r="H41" s="5">
        <v>2104</v>
      </c>
      <c r="I41" s="5">
        <v>1198</v>
      </c>
      <c r="J41" s="2" t="s">
        <v>7</v>
      </c>
      <c r="K41" s="2" t="s">
        <v>2</v>
      </c>
    </row>
    <row r="42" spans="1:11" ht="12.75">
      <c r="A42" s="1" t="s">
        <v>33</v>
      </c>
      <c r="B42" s="5">
        <v>12499</v>
      </c>
      <c r="C42" s="5">
        <v>12672</v>
      </c>
      <c r="D42" s="5">
        <v>1682</v>
      </c>
      <c r="E42" s="5">
        <v>1493</v>
      </c>
      <c r="F42" s="5">
        <v>1859</v>
      </c>
      <c r="G42" s="5">
        <v>1818</v>
      </c>
      <c r="H42" s="5">
        <v>1511</v>
      </c>
      <c r="I42" s="5">
        <v>1036</v>
      </c>
      <c r="J42" s="2" t="s">
        <v>7</v>
      </c>
      <c r="K42" s="2" t="s">
        <v>2</v>
      </c>
    </row>
    <row r="43" spans="1:11" ht="12.75">
      <c r="A43" s="1" t="s">
        <v>34</v>
      </c>
      <c r="B43" s="5">
        <v>50171</v>
      </c>
      <c r="C43" s="5">
        <v>48427</v>
      </c>
      <c r="D43" s="5">
        <v>33083</v>
      </c>
      <c r="E43" s="5">
        <v>30863</v>
      </c>
      <c r="F43" s="5">
        <v>69833</v>
      </c>
      <c r="G43" s="5">
        <v>31826</v>
      </c>
      <c r="H43" s="5">
        <v>23074</v>
      </c>
      <c r="I43" s="5">
        <v>51142</v>
      </c>
      <c r="J43" s="2" t="s">
        <v>7</v>
      </c>
      <c r="K43" s="2" t="s">
        <v>2</v>
      </c>
    </row>
    <row r="44" spans="1:11" ht="12.75">
      <c r="A44" s="1" t="s">
        <v>35</v>
      </c>
      <c r="B44" s="2" t="s">
        <v>7</v>
      </c>
      <c r="C44" s="2" t="s">
        <v>7</v>
      </c>
      <c r="D44" s="2" t="s">
        <v>7</v>
      </c>
      <c r="E44" s="2" t="s">
        <v>7</v>
      </c>
      <c r="F44" s="2" t="s">
        <v>7</v>
      </c>
      <c r="G44" s="2" t="s">
        <v>7</v>
      </c>
      <c r="H44" s="2" t="s">
        <v>7</v>
      </c>
      <c r="I44" s="2" t="s">
        <v>7</v>
      </c>
      <c r="J44" s="2" t="s">
        <v>7</v>
      </c>
      <c r="K44" s="2" t="s">
        <v>2</v>
      </c>
    </row>
    <row r="45" spans="1:11" ht="12.75">
      <c r="A45" s="1" t="s">
        <v>36</v>
      </c>
      <c r="B45" s="5">
        <v>20958</v>
      </c>
      <c r="C45" s="5">
        <v>16243</v>
      </c>
      <c r="D45" s="5">
        <v>15042</v>
      </c>
      <c r="E45" s="5">
        <v>13207</v>
      </c>
      <c r="F45" s="5">
        <v>11455</v>
      </c>
      <c r="G45" s="5">
        <v>10701</v>
      </c>
      <c r="H45" s="5">
        <v>9643</v>
      </c>
      <c r="I45" s="5">
        <v>9688</v>
      </c>
      <c r="J45" s="2" t="s">
        <v>7</v>
      </c>
      <c r="K45" s="2" t="s">
        <v>2</v>
      </c>
    </row>
    <row r="46" spans="1:11" ht="12.75">
      <c r="A46" s="1" t="s">
        <v>37</v>
      </c>
      <c r="B46" s="2" t="s">
        <v>7</v>
      </c>
      <c r="C46" s="2" t="s">
        <v>7</v>
      </c>
      <c r="D46" s="2" t="s">
        <v>7</v>
      </c>
      <c r="E46" s="2" t="s">
        <v>7</v>
      </c>
      <c r="F46" s="2" t="s">
        <v>7</v>
      </c>
      <c r="G46" s="2" t="s">
        <v>7</v>
      </c>
      <c r="H46" s="2" t="s">
        <v>7</v>
      </c>
      <c r="I46" s="2" t="s">
        <v>7</v>
      </c>
      <c r="J46" s="2" t="s">
        <v>7</v>
      </c>
      <c r="K46" s="2" t="s">
        <v>2</v>
      </c>
    </row>
    <row r="47" spans="1:11" ht="12.75">
      <c r="A47" s="1" t="s">
        <v>38</v>
      </c>
      <c r="B47" s="5">
        <v>222557</v>
      </c>
      <c r="C47" s="5">
        <v>158067</v>
      </c>
      <c r="D47" s="5">
        <v>123713</v>
      </c>
      <c r="E47" s="5">
        <v>113017</v>
      </c>
      <c r="F47" s="5">
        <v>55902</v>
      </c>
      <c r="G47" s="5">
        <v>84203</v>
      </c>
      <c r="H47" s="5">
        <v>107429</v>
      </c>
      <c r="I47" s="5">
        <v>65414</v>
      </c>
      <c r="J47" s="2" t="s">
        <v>7</v>
      </c>
      <c r="K47" s="2" t="s">
        <v>2</v>
      </c>
    </row>
    <row r="48" spans="1:11" ht="12.75">
      <c r="A48" s="1" t="s">
        <v>39</v>
      </c>
      <c r="B48" s="2" t="s">
        <v>7</v>
      </c>
      <c r="C48" s="2" t="s">
        <v>7</v>
      </c>
      <c r="D48" s="2" t="s">
        <v>7</v>
      </c>
      <c r="E48" s="2" t="s">
        <v>7</v>
      </c>
      <c r="F48" s="2" t="s">
        <v>7</v>
      </c>
      <c r="G48" s="2" t="s">
        <v>7</v>
      </c>
      <c r="H48" s="2" t="s">
        <v>7</v>
      </c>
      <c r="I48" s="2" t="s">
        <v>7</v>
      </c>
      <c r="J48" s="2" t="s">
        <v>7</v>
      </c>
      <c r="K48" s="2" t="s">
        <v>2</v>
      </c>
    </row>
    <row r="49" spans="1:11" ht="12.75">
      <c r="A49" s="1" t="s">
        <v>40</v>
      </c>
      <c r="B49" s="2">
        <v>339</v>
      </c>
      <c r="C49" s="5">
        <v>1017</v>
      </c>
      <c r="D49" s="5">
        <v>1102</v>
      </c>
      <c r="E49" s="2">
        <v>665</v>
      </c>
      <c r="F49" s="2">
        <v>694</v>
      </c>
      <c r="G49" s="2">
        <v>828</v>
      </c>
      <c r="H49" s="2">
        <v>456</v>
      </c>
      <c r="I49" s="5">
        <v>1158</v>
      </c>
      <c r="J49" s="2" t="s">
        <v>7</v>
      </c>
      <c r="K49" s="2" t="s">
        <v>2</v>
      </c>
    </row>
    <row r="50" spans="1:11" ht="12.75">
      <c r="A50" s="1" t="s">
        <v>41</v>
      </c>
      <c r="B50" s="5">
        <v>294025</v>
      </c>
      <c r="C50" s="5">
        <v>223754</v>
      </c>
      <c r="D50" s="5">
        <v>172940</v>
      </c>
      <c r="E50" s="5">
        <v>157752</v>
      </c>
      <c r="F50" s="5">
        <v>137884</v>
      </c>
      <c r="G50" s="5">
        <v>127558</v>
      </c>
      <c r="H50" s="5">
        <v>140602</v>
      </c>
      <c r="I50" s="5">
        <v>127402</v>
      </c>
      <c r="J50" s="2" t="s">
        <v>7</v>
      </c>
      <c r="K50" s="2" t="s">
        <v>2</v>
      </c>
    </row>
    <row r="51" spans="1:11" ht="12.75">
      <c r="A51" s="1" t="s">
        <v>42</v>
      </c>
      <c r="B51" s="2" t="s">
        <v>7</v>
      </c>
      <c r="C51" s="2" t="s">
        <v>7</v>
      </c>
      <c r="D51" s="2" t="s">
        <v>7</v>
      </c>
      <c r="E51" s="2" t="s">
        <v>7</v>
      </c>
      <c r="F51" s="2" t="s">
        <v>7</v>
      </c>
      <c r="G51" s="2" t="s">
        <v>7</v>
      </c>
      <c r="H51" s="2" t="s">
        <v>7</v>
      </c>
      <c r="I51" s="2">
        <v>-886</v>
      </c>
      <c r="J51" s="2" t="s">
        <v>7</v>
      </c>
      <c r="K51" s="2" t="s">
        <v>2</v>
      </c>
    </row>
    <row r="52" spans="1:11" ht="12.75">
      <c r="A52" s="1" t="s">
        <v>43</v>
      </c>
      <c r="B52" s="2" t="s">
        <v>7</v>
      </c>
      <c r="C52" s="2" t="s">
        <v>7</v>
      </c>
      <c r="D52" s="2" t="s">
        <v>7</v>
      </c>
      <c r="E52" s="2" t="s">
        <v>7</v>
      </c>
      <c r="F52" s="2" t="s">
        <v>7</v>
      </c>
      <c r="G52" s="2" t="s">
        <v>7</v>
      </c>
      <c r="H52" s="5">
        <v>10010</v>
      </c>
      <c r="I52" s="5">
        <v>10010</v>
      </c>
      <c r="J52" s="2" t="s">
        <v>7</v>
      </c>
      <c r="K52" s="2" t="s">
        <v>2</v>
      </c>
    </row>
    <row r="53" spans="1:11" ht="12.75">
      <c r="A53" s="1" t="s">
        <v>44</v>
      </c>
      <c r="B53" s="5">
        <v>90772</v>
      </c>
      <c r="C53" s="5">
        <v>88462</v>
      </c>
      <c r="D53" s="5">
        <v>85726</v>
      </c>
      <c r="E53" s="5">
        <v>47805</v>
      </c>
      <c r="F53" s="5">
        <v>47415</v>
      </c>
      <c r="G53" s="5">
        <v>47350</v>
      </c>
      <c r="H53" s="5">
        <v>5022</v>
      </c>
      <c r="I53" s="5">
        <v>5022</v>
      </c>
      <c r="J53" s="2" t="s">
        <v>7</v>
      </c>
      <c r="K53" s="2" t="s">
        <v>2</v>
      </c>
    </row>
    <row r="54" spans="1:11" ht="12.75">
      <c r="A54" s="1" t="s">
        <v>45</v>
      </c>
      <c r="B54" s="5">
        <v>4776</v>
      </c>
      <c r="C54" s="5">
        <v>3289</v>
      </c>
      <c r="D54" s="5">
        <v>1334</v>
      </c>
      <c r="E54" s="2" t="s">
        <v>7</v>
      </c>
      <c r="F54" s="2" t="s">
        <v>7</v>
      </c>
      <c r="G54" s="2" t="s">
        <v>7</v>
      </c>
      <c r="H54" s="2" t="s">
        <v>7</v>
      </c>
      <c r="I54" s="2" t="s">
        <v>7</v>
      </c>
      <c r="J54" s="2" t="s">
        <v>7</v>
      </c>
      <c r="K54" s="2" t="s">
        <v>2</v>
      </c>
    </row>
    <row r="55" spans="1:11" ht="12.75">
      <c r="A55" s="1" t="s">
        <v>46</v>
      </c>
      <c r="B55" s="5">
        <v>158435</v>
      </c>
      <c r="C55" s="5">
        <v>129420</v>
      </c>
      <c r="D55" s="5">
        <v>101195</v>
      </c>
      <c r="E55" s="5">
        <v>76757</v>
      </c>
      <c r="F55" s="5">
        <v>58937</v>
      </c>
      <c r="G55" s="5">
        <v>49425</v>
      </c>
      <c r="H55" s="5">
        <v>41262</v>
      </c>
      <c r="I55" s="5">
        <v>34657</v>
      </c>
      <c r="J55" s="2" t="s">
        <v>7</v>
      </c>
      <c r="K55" s="2" t="s">
        <v>2</v>
      </c>
    </row>
    <row r="56" spans="1:11" ht="12.75">
      <c r="A56" s="1" t="s">
        <v>47</v>
      </c>
      <c r="B56" s="2" t="s">
        <v>7</v>
      </c>
      <c r="C56" s="2" t="s">
        <v>7</v>
      </c>
      <c r="D56" s="2" t="s">
        <v>7</v>
      </c>
      <c r="E56" s="2" t="s">
        <v>7</v>
      </c>
      <c r="F56" s="2" t="s">
        <v>7</v>
      </c>
      <c r="G56" s="2" t="s">
        <v>7</v>
      </c>
      <c r="H56" s="2" t="s">
        <v>7</v>
      </c>
      <c r="I56" s="2" t="s">
        <v>7</v>
      </c>
      <c r="J56" s="2" t="s">
        <v>7</v>
      </c>
      <c r="K56" s="2" t="s">
        <v>2</v>
      </c>
    </row>
    <row r="57" spans="1:11" ht="12.75">
      <c r="A57" s="1" t="s">
        <v>48</v>
      </c>
      <c r="B57" s="2" t="s">
        <v>7</v>
      </c>
      <c r="C57" s="2" t="s">
        <v>7</v>
      </c>
      <c r="D57" s="2" t="s">
        <v>7</v>
      </c>
      <c r="E57" s="2" t="s">
        <v>7</v>
      </c>
      <c r="F57" s="2" t="s">
        <v>7</v>
      </c>
      <c r="G57" s="2" t="s">
        <v>7</v>
      </c>
      <c r="H57" s="2" t="s">
        <v>7</v>
      </c>
      <c r="I57" s="2" t="s">
        <v>7</v>
      </c>
      <c r="J57" s="2" t="s">
        <v>7</v>
      </c>
      <c r="K57" s="2" t="s">
        <v>2</v>
      </c>
    </row>
    <row r="58" spans="1:11" ht="12.75">
      <c r="A58" s="1" t="s">
        <v>49</v>
      </c>
      <c r="B58" s="5">
        <v>253983</v>
      </c>
      <c r="C58" s="5">
        <v>221171</v>
      </c>
      <c r="D58" s="5">
        <v>188255</v>
      </c>
      <c r="E58" s="5">
        <v>124562</v>
      </c>
      <c r="F58" s="5">
        <v>106352</v>
      </c>
      <c r="G58" s="5">
        <v>96775</v>
      </c>
      <c r="H58" s="5">
        <v>56294</v>
      </c>
      <c r="I58" s="5">
        <v>49689</v>
      </c>
      <c r="J58" s="2" t="s">
        <v>7</v>
      </c>
      <c r="K58" s="2" t="s">
        <v>2</v>
      </c>
    </row>
    <row r="59" spans="1:11" ht="12.75">
      <c r="A59" s="1" t="s">
        <v>50</v>
      </c>
      <c r="B59" s="5">
        <v>548008</v>
      </c>
      <c r="C59" s="5">
        <v>444925</v>
      </c>
      <c r="D59" s="5">
        <v>361195</v>
      </c>
      <c r="E59" s="5">
        <v>282314</v>
      </c>
      <c r="F59" s="5">
        <v>244236</v>
      </c>
      <c r="G59" s="5">
        <v>224333</v>
      </c>
      <c r="H59" s="5">
        <v>196896</v>
      </c>
      <c r="I59" s="5">
        <v>176205</v>
      </c>
      <c r="J59" s="2" t="s">
        <v>7</v>
      </c>
      <c r="K59" s="2" t="s">
        <v>2</v>
      </c>
    </row>
    <row r="60" spans="1:2" ht="12.75">
      <c r="A60" s="1" t="s">
        <v>2</v>
      </c>
      <c r="B60" s="2" t="s">
        <v>2</v>
      </c>
    </row>
    <row r="61" ht="12.75">
      <c r="A61" s="1" t="s">
        <v>51</v>
      </c>
    </row>
    <row r="62" spans="1:44" ht="12.75">
      <c r="A62" s="1" t="s">
        <v>5</v>
      </c>
      <c r="B62" s="3">
        <v>35976</v>
      </c>
      <c r="C62" s="3">
        <v>35611</v>
      </c>
      <c r="D62" s="3">
        <v>35246</v>
      </c>
      <c r="E62" s="3">
        <v>34880</v>
      </c>
      <c r="F62" s="3">
        <v>34515</v>
      </c>
      <c r="G62" s="3">
        <v>34150</v>
      </c>
      <c r="H62" s="3">
        <v>33785</v>
      </c>
      <c r="I62" s="3">
        <v>33419</v>
      </c>
      <c r="J62" s="3">
        <v>33054</v>
      </c>
      <c r="K62" s="4" t="s">
        <v>2</v>
      </c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</row>
    <row r="63" spans="1:11" ht="12.75">
      <c r="A63" s="1" t="s">
        <v>52</v>
      </c>
      <c r="B63" s="5">
        <v>325159</v>
      </c>
      <c r="C63" s="5">
        <v>300774</v>
      </c>
      <c r="D63" s="5">
        <v>240830</v>
      </c>
      <c r="E63" s="5">
        <v>199469</v>
      </c>
      <c r="F63" s="5">
        <v>167027</v>
      </c>
      <c r="G63" s="5">
        <v>168140</v>
      </c>
      <c r="H63" s="5">
        <v>145594</v>
      </c>
      <c r="I63" s="5">
        <v>120497</v>
      </c>
      <c r="J63" s="5">
        <v>114652</v>
      </c>
      <c r="K63" s="2" t="s">
        <v>2</v>
      </c>
    </row>
    <row r="64" spans="1:11" ht="12.75">
      <c r="A64" s="1" t="s">
        <v>53</v>
      </c>
      <c r="B64" s="5">
        <v>175690</v>
      </c>
      <c r="C64" s="5">
        <v>165988</v>
      </c>
      <c r="D64" s="5">
        <v>122385</v>
      </c>
      <c r="E64" s="5">
        <v>97254</v>
      </c>
      <c r="F64" s="5">
        <v>88102</v>
      </c>
      <c r="G64" s="5">
        <v>92979</v>
      </c>
      <c r="H64" s="5">
        <v>80084</v>
      </c>
      <c r="I64" s="5">
        <v>65813</v>
      </c>
      <c r="J64" s="2" t="s">
        <v>7</v>
      </c>
      <c r="K64" s="2" t="s">
        <v>2</v>
      </c>
    </row>
    <row r="65" spans="1:11" ht="12.75">
      <c r="A65" s="1" t="s">
        <v>54</v>
      </c>
      <c r="B65" s="5">
        <v>149469</v>
      </c>
      <c r="C65" s="5">
        <v>134786</v>
      </c>
      <c r="D65" s="5">
        <v>118445</v>
      </c>
      <c r="E65" s="5">
        <v>102215</v>
      </c>
      <c r="F65" s="5">
        <v>78925</v>
      </c>
      <c r="G65" s="5">
        <v>75161</v>
      </c>
      <c r="H65" s="5">
        <v>65510</v>
      </c>
      <c r="I65" s="5">
        <v>54684</v>
      </c>
      <c r="J65" s="5">
        <v>114652</v>
      </c>
      <c r="K65" s="2" t="s">
        <v>2</v>
      </c>
    </row>
    <row r="66" spans="1:11" ht="12.75">
      <c r="A66" s="1" t="s">
        <v>55</v>
      </c>
      <c r="B66" s="2" t="s">
        <v>7</v>
      </c>
      <c r="C66" s="2" t="s">
        <v>7</v>
      </c>
      <c r="D66" s="2" t="s">
        <v>7</v>
      </c>
      <c r="E66" s="2" t="s">
        <v>7</v>
      </c>
      <c r="F66" s="2" t="s">
        <v>7</v>
      </c>
      <c r="G66" s="2" t="s">
        <v>7</v>
      </c>
      <c r="H66" s="2" t="s">
        <v>7</v>
      </c>
      <c r="I66" s="2" t="s">
        <v>7</v>
      </c>
      <c r="J66" s="5">
        <v>57928</v>
      </c>
      <c r="K66" s="2" t="s">
        <v>2</v>
      </c>
    </row>
    <row r="67" spans="1:11" ht="12.75">
      <c r="A67" s="1" t="s">
        <v>56</v>
      </c>
      <c r="B67" s="5">
        <v>90043</v>
      </c>
      <c r="C67" s="5">
        <v>79831</v>
      </c>
      <c r="D67" s="5">
        <v>70707</v>
      </c>
      <c r="E67" s="5">
        <v>64160</v>
      </c>
      <c r="F67" s="5">
        <v>56198</v>
      </c>
      <c r="G67" s="5">
        <v>52191</v>
      </c>
      <c r="H67" s="5">
        <v>44870</v>
      </c>
      <c r="I67" s="5">
        <v>39837</v>
      </c>
      <c r="J67" s="5">
        <v>35645</v>
      </c>
      <c r="K67" s="2" t="s">
        <v>2</v>
      </c>
    </row>
    <row r="68" spans="1:11" ht="12.75">
      <c r="A68" s="1" t="s">
        <v>57</v>
      </c>
      <c r="B68" s="5">
        <v>59426</v>
      </c>
      <c r="C68" s="5">
        <v>54955</v>
      </c>
      <c r="D68" s="5">
        <v>47738</v>
      </c>
      <c r="E68" s="5">
        <v>38055</v>
      </c>
      <c r="F68" s="5">
        <v>22727</v>
      </c>
      <c r="G68" s="5">
        <v>22970</v>
      </c>
      <c r="H68" s="5">
        <v>20640</v>
      </c>
      <c r="I68" s="5">
        <v>14847</v>
      </c>
      <c r="J68" s="5">
        <v>21079</v>
      </c>
      <c r="K68" s="2" t="s">
        <v>2</v>
      </c>
    </row>
    <row r="69" spans="1:11" ht="12.75">
      <c r="A69" s="1" t="s">
        <v>58</v>
      </c>
      <c r="B69" s="2" t="s">
        <v>7</v>
      </c>
      <c r="C69" s="2" t="s">
        <v>7</v>
      </c>
      <c r="D69" s="2" t="s">
        <v>7</v>
      </c>
      <c r="E69" s="2" t="s">
        <v>7</v>
      </c>
      <c r="F69" s="2" t="s">
        <v>7</v>
      </c>
      <c r="G69" s="2" t="s">
        <v>7</v>
      </c>
      <c r="H69" s="2" t="s">
        <v>7</v>
      </c>
      <c r="I69" s="2" t="s">
        <v>7</v>
      </c>
      <c r="J69" s="2" t="s">
        <v>7</v>
      </c>
      <c r="K69" s="2" t="s">
        <v>2</v>
      </c>
    </row>
    <row r="70" spans="1:11" ht="12.75">
      <c r="A70" s="1" t="s">
        <v>59</v>
      </c>
      <c r="B70" s="2">
        <v>441</v>
      </c>
      <c r="C70" s="5">
        <v>1880</v>
      </c>
      <c r="D70" s="5">
        <v>1543</v>
      </c>
      <c r="E70" s="2">
        <v>215</v>
      </c>
      <c r="F70" s="2">
        <v>-305</v>
      </c>
      <c r="G70" s="5">
        <v>-1020</v>
      </c>
      <c r="H70" s="2">
        <v>388</v>
      </c>
      <c r="I70" s="5">
        <v>1701</v>
      </c>
      <c r="J70" s="5">
        <v>1598</v>
      </c>
      <c r="K70" s="2" t="s">
        <v>2</v>
      </c>
    </row>
    <row r="71" spans="1:11" ht="12.75">
      <c r="A71" s="1" t="s">
        <v>60</v>
      </c>
      <c r="B71" s="5">
        <v>12298</v>
      </c>
      <c r="C71" s="5">
        <v>10562</v>
      </c>
      <c r="D71" s="5">
        <v>8814</v>
      </c>
      <c r="E71" s="5">
        <v>8675</v>
      </c>
      <c r="F71" s="5">
        <v>6698</v>
      </c>
      <c r="G71" s="5">
        <v>7486</v>
      </c>
      <c r="H71" s="5">
        <v>8995</v>
      </c>
      <c r="I71" s="5">
        <v>9227</v>
      </c>
      <c r="J71" s="5">
        <v>9083</v>
      </c>
      <c r="K71" s="2" t="s">
        <v>2</v>
      </c>
    </row>
    <row r="72" spans="1:11" ht="12.75">
      <c r="A72" s="1" t="s">
        <v>61</v>
      </c>
      <c r="B72" s="5">
        <v>47569</v>
      </c>
      <c r="C72" s="5">
        <v>46273</v>
      </c>
      <c r="D72" s="5">
        <v>40467</v>
      </c>
      <c r="E72" s="5">
        <v>29595</v>
      </c>
      <c r="F72" s="5">
        <v>15724</v>
      </c>
      <c r="G72" s="5">
        <v>14464</v>
      </c>
      <c r="H72" s="5">
        <v>12033</v>
      </c>
      <c r="I72" s="5">
        <v>7321</v>
      </c>
      <c r="J72" s="5">
        <v>13594</v>
      </c>
      <c r="K72" s="2" t="s">
        <v>2</v>
      </c>
    </row>
    <row r="73" spans="1:11" ht="12.75">
      <c r="A73" s="1" t="s">
        <v>62</v>
      </c>
      <c r="B73" s="5">
        <v>18554</v>
      </c>
      <c r="C73" s="5">
        <v>18048</v>
      </c>
      <c r="D73" s="5">
        <v>16029</v>
      </c>
      <c r="E73" s="5">
        <v>11775</v>
      </c>
      <c r="F73" s="5">
        <v>6212</v>
      </c>
      <c r="G73" s="5">
        <v>5801</v>
      </c>
      <c r="H73" s="5">
        <v>4928</v>
      </c>
      <c r="I73" s="5">
        <v>3066</v>
      </c>
      <c r="J73" s="5">
        <v>5478</v>
      </c>
      <c r="K73" s="2" t="s">
        <v>2</v>
      </c>
    </row>
    <row r="74" spans="1:11" ht="12.75">
      <c r="A74" s="1" t="s">
        <v>63</v>
      </c>
      <c r="B74" s="2" t="s">
        <v>7</v>
      </c>
      <c r="C74" s="2" t="s">
        <v>7</v>
      </c>
      <c r="D74" s="2" t="s">
        <v>7</v>
      </c>
      <c r="E74" s="2" t="s">
        <v>7</v>
      </c>
      <c r="F74" s="2" t="s">
        <v>7</v>
      </c>
      <c r="G74" s="2" t="s">
        <v>7</v>
      </c>
      <c r="H74" s="2" t="s">
        <v>7</v>
      </c>
      <c r="I74" s="2" t="s">
        <v>7</v>
      </c>
      <c r="J74" s="2" t="s">
        <v>7</v>
      </c>
      <c r="K74" s="2" t="s">
        <v>2</v>
      </c>
    </row>
    <row r="75" spans="1:11" ht="12.75">
      <c r="A75" s="1" t="s">
        <v>64</v>
      </c>
      <c r="B75" s="2" t="s">
        <v>7</v>
      </c>
      <c r="C75" s="2" t="s">
        <v>7</v>
      </c>
      <c r="D75" s="2" t="s">
        <v>7</v>
      </c>
      <c r="E75" s="2" t="s">
        <v>7</v>
      </c>
      <c r="F75" s="2" t="s">
        <v>7</v>
      </c>
      <c r="G75" s="2" t="s">
        <v>7</v>
      </c>
      <c r="H75" s="2" t="s">
        <v>7</v>
      </c>
      <c r="I75" s="2" t="s">
        <v>7</v>
      </c>
      <c r="J75" s="2" t="s">
        <v>7</v>
      </c>
      <c r="K75" s="2" t="s">
        <v>2</v>
      </c>
    </row>
    <row r="76" spans="1:11" ht="12.75">
      <c r="A76" s="1" t="s">
        <v>65</v>
      </c>
      <c r="B76" s="2" t="s">
        <v>7</v>
      </c>
      <c r="C76" s="2" t="s">
        <v>7</v>
      </c>
      <c r="D76" s="2" t="s">
        <v>7</v>
      </c>
      <c r="E76" s="2" t="s">
        <v>7</v>
      </c>
      <c r="F76" s="2" t="s">
        <v>7</v>
      </c>
      <c r="G76" s="2" t="s">
        <v>7</v>
      </c>
      <c r="H76" s="2" t="s">
        <v>7</v>
      </c>
      <c r="I76" s="2" t="s">
        <v>7</v>
      </c>
      <c r="J76" s="2" t="s">
        <v>7</v>
      </c>
      <c r="K76" s="2" t="s">
        <v>2</v>
      </c>
    </row>
    <row r="77" spans="1:11" ht="12.75">
      <c r="A77" s="1" t="s">
        <v>66</v>
      </c>
      <c r="B77" s="5">
        <v>29015</v>
      </c>
      <c r="C77" s="5">
        <v>28225</v>
      </c>
      <c r="D77" s="5">
        <v>24438</v>
      </c>
      <c r="E77" s="5">
        <v>17820</v>
      </c>
      <c r="F77" s="5">
        <v>9512</v>
      </c>
      <c r="G77" s="5">
        <v>8663</v>
      </c>
      <c r="H77" s="5">
        <v>7105</v>
      </c>
      <c r="I77" s="5">
        <v>4255</v>
      </c>
      <c r="J77" s="5">
        <v>8116</v>
      </c>
      <c r="K77" s="2" t="s">
        <v>2</v>
      </c>
    </row>
    <row r="78" spans="1:11" ht="12.75">
      <c r="A78" s="1" t="s">
        <v>67</v>
      </c>
      <c r="B78" s="2" t="s">
        <v>7</v>
      </c>
      <c r="C78" s="2" t="s">
        <v>7</v>
      </c>
      <c r="D78" s="2" t="s">
        <v>7</v>
      </c>
      <c r="E78" s="2" t="s">
        <v>7</v>
      </c>
      <c r="F78" s="2" t="s">
        <v>7</v>
      </c>
      <c r="G78" s="2" t="s">
        <v>7</v>
      </c>
      <c r="H78" s="2" t="s">
        <v>7</v>
      </c>
      <c r="I78" s="2" t="s">
        <v>7</v>
      </c>
      <c r="J78" s="2" t="s">
        <v>7</v>
      </c>
      <c r="K78" s="2" t="s">
        <v>2</v>
      </c>
    </row>
    <row r="79" spans="1:11" ht="12.75">
      <c r="A79" s="1" t="s">
        <v>68</v>
      </c>
      <c r="B79" s="5">
        <v>29015</v>
      </c>
      <c r="C79" s="5">
        <v>28225</v>
      </c>
      <c r="D79" s="5">
        <v>24438</v>
      </c>
      <c r="E79" s="5">
        <v>17820</v>
      </c>
      <c r="F79" s="5">
        <v>9512</v>
      </c>
      <c r="G79" s="5">
        <v>8663</v>
      </c>
      <c r="H79" s="5">
        <v>7105</v>
      </c>
      <c r="I79" s="5">
        <v>4255</v>
      </c>
      <c r="J79" s="5">
        <v>8116</v>
      </c>
      <c r="K79" s="2" t="s">
        <v>2</v>
      </c>
    </row>
    <row r="80" spans="1:11" ht="12.75">
      <c r="A80" s="1" t="s">
        <v>69</v>
      </c>
      <c r="B80" s="5">
        <v>15356</v>
      </c>
      <c r="C80" s="5">
        <v>15175</v>
      </c>
      <c r="D80" s="5">
        <v>14958</v>
      </c>
      <c r="E80" s="5">
        <v>12775</v>
      </c>
      <c r="F80" s="5">
        <v>12735</v>
      </c>
      <c r="G80" s="5">
        <v>12726</v>
      </c>
      <c r="H80" s="5">
        <v>9285</v>
      </c>
      <c r="I80" s="2" t="s">
        <v>7</v>
      </c>
      <c r="J80" s="2" t="s">
        <v>7</v>
      </c>
      <c r="K80" s="2" t="s">
        <v>2</v>
      </c>
    </row>
    <row r="81" ht="12.75">
      <c r="A81" s="1" t="s">
        <v>2</v>
      </c>
    </row>
    <row r="82" ht="25.5">
      <c r="A82" s="1" t="s">
        <v>70</v>
      </c>
    </row>
    <row r="83" spans="1:44" ht="12.75">
      <c r="A83" s="1" t="s">
        <v>71</v>
      </c>
      <c r="B83" s="3">
        <v>35976</v>
      </c>
      <c r="C83" s="3">
        <v>35611</v>
      </c>
      <c r="D83" s="3">
        <v>35246</v>
      </c>
      <c r="E83" s="3">
        <v>34880</v>
      </c>
      <c r="F83" s="3">
        <v>34515</v>
      </c>
      <c r="G83" s="3">
        <v>34150</v>
      </c>
      <c r="H83" s="3">
        <v>33785</v>
      </c>
      <c r="I83" s="3">
        <v>33419</v>
      </c>
      <c r="J83" s="3">
        <v>33054</v>
      </c>
      <c r="K83" s="4" t="s">
        <v>2</v>
      </c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</row>
    <row r="84" spans="1:11" ht="12.75">
      <c r="A84" s="1" t="s">
        <v>72</v>
      </c>
      <c r="B84" s="5">
        <v>29015</v>
      </c>
      <c r="C84" s="5">
        <v>28225</v>
      </c>
      <c r="D84" s="5">
        <v>24438</v>
      </c>
      <c r="E84" s="5">
        <v>17820</v>
      </c>
      <c r="F84" s="5">
        <v>9512</v>
      </c>
      <c r="G84" s="5">
        <v>8663</v>
      </c>
      <c r="H84" s="5">
        <v>7105</v>
      </c>
      <c r="I84" s="5">
        <v>4255</v>
      </c>
      <c r="J84" s="5">
        <v>8116</v>
      </c>
      <c r="K84" s="2" t="s">
        <v>2</v>
      </c>
    </row>
    <row r="85" spans="1:11" ht="12.75">
      <c r="A85" s="1" t="s">
        <v>73</v>
      </c>
      <c r="B85" s="5">
        <v>13665</v>
      </c>
      <c r="C85" s="5">
        <v>12534</v>
      </c>
      <c r="D85" s="5">
        <v>10263</v>
      </c>
      <c r="E85" s="5">
        <v>8854</v>
      </c>
      <c r="F85" s="5">
        <v>7955</v>
      </c>
      <c r="G85" s="5">
        <v>7763</v>
      </c>
      <c r="H85" s="5">
        <v>7082</v>
      </c>
      <c r="I85" s="5">
        <v>6145</v>
      </c>
      <c r="J85" s="5">
        <v>5241</v>
      </c>
      <c r="K85" s="2" t="s">
        <v>2</v>
      </c>
    </row>
    <row r="86" spans="1:11" ht="12.75">
      <c r="A86" s="1" t="s">
        <v>74</v>
      </c>
      <c r="B86" s="5">
        <v>-61787</v>
      </c>
      <c r="C86" s="5">
        <v>-42651</v>
      </c>
      <c r="D86" s="5">
        <v>-31137</v>
      </c>
      <c r="E86" s="5">
        <v>-10605</v>
      </c>
      <c r="F86" s="5">
        <v>-10352</v>
      </c>
      <c r="G86" s="5">
        <v>-14865</v>
      </c>
      <c r="H86" s="5">
        <v>-15469</v>
      </c>
      <c r="I86" s="5">
        <v>-2502</v>
      </c>
      <c r="J86" s="5">
        <v>-11190</v>
      </c>
      <c r="K86" s="2" t="s">
        <v>2</v>
      </c>
    </row>
    <row r="87" spans="1:11" ht="12.75">
      <c r="A87" s="1" t="s">
        <v>75</v>
      </c>
      <c r="B87" s="2" t="s">
        <v>7</v>
      </c>
      <c r="C87" s="2" t="s">
        <v>7</v>
      </c>
      <c r="D87" s="2" t="s">
        <v>7</v>
      </c>
      <c r="E87" s="2" t="s">
        <v>7</v>
      </c>
      <c r="F87" s="2" t="s">
        <v>7</v>
      </c>
      <c r="G87" s="2" t="s">
        <v>7</v>
      </c>
      <c r="H87" s="2" t="s">
        <v>7</v>
      </c>
      <c r="I87" s="2" t="s">
        <v>7</v>
      </c>
      <c r="J87" s="2" t="s">
        <v>7</v>
      </c>
      <c r="K87" s="2" t="s">
        <v>2</v>
      </c>
    </row>
    <row r="88" spans="1:11" ht="12.75">
      <c r="A88" s="1" t="s">
        <v>76</v>
      </c>
      <c r="B88" s="2">
        <v>637</v>
      </c>
      <c r="C88" s="5">
        <v>-1500</v>
      </c>
      <c r="D88" s="5">
        <v>-2062</v>
      </c>
      <c r="E88" s="2">
        <v>-150</v>
      </c>
      <c r="F88" s="2">
        <v>-152</v>
      </c>
      <c r="G88" s="2">
        <v>92</v>
      </c>
      <c r="H88" s="2">
        <v>570</v>
      </c>
      <c r="I88" s="5">
        <v>-1731</v>
      </c>
      <c r="J88" s="5">
        <v>-1723</v>
      </c>
      <c r="K88" s="2" t="s">
        <v>2</v>
      </c>
    </row>
    <row r="89" spans="1:11" ht="12.75">
      <c r="A89" s="1" t="s">
        <v>77</v>
      </c>
      <c r="B89" s="5">
        <v>-18470</v>
      </c>
      <c r="C89" s="5">
        <v>-3392</v>
      </c>
      <c r="D89" s="5">
        <v>1502</v>
      </c>
      <c r="E89" s="5">
        <v>15919</v>
      </c>
      <c r="F89" s="5">
        <v>6963</v>
      </c>
      <c r="G89" s="5">
        <v>1653</v>
      </c>
      <c r="H89" s="2">
        <v>-712</v>
      </c>
      <c r="I89" s="5">
        <v>6167</v>
      </c>
      <c r="J89" s="2">
        <v>444</v>
      </c>
      <c r="K89" s="2" t="s">
        <v>2</v>
      </c>
    </row>
    <row r="90" ht="12.75">
      <c r="A90" s="1" t="s">
        <v>2</v>
      </c>
    </row>
    <row r="91" ht="25.5">
      <c r="A91" s="1" t="s">
        <v>78</v>
      </c>
    </row>
    <row r="92" spans="1:44" ht="12.75">
      <c r="A92" s="1" t="s">
        <v>71</v>
      </c>
      <c r="B92" s="3">
        <v>35976</v>
      </c>
      <c r="C92" s="3">
        <v>35611</v>
      </c>
      <c r="D92" s="3">
        <v>35246</v>
      </c>
      <c r="E92" s="3">
        <v>34880</v>
      </c>
      <c r="F92" s="3">
        <v>34515</v>
      </c>
      <c r="G92" s="3">
        <v>34150</v>
      </c>
      <c r="H92" s="3">
        <v>33785</v>
      </c>
      <c r="I92" s="3">
        <v>33419</v>
      </c>
      <c r="J92" s="3">
        <v>33054</v>
      </c>
      <c r="K92" s="4" t="s">
        <v>2</v>
      </c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</row>
    <row r="93" spans="1:11" ht="12.75">
      <c r="A93" s="1" t="s">
        <v>79</v>
      </c>
      <c r="B93" s="5">
        <v>-49525</v>
      </c>
      <c r="C93" s="5">
        <v>-42552</v>
      </c>
      <c r="D93" s="5">
        <v>-40084</v>
      </c>
      <c r="E93" s="5">
        <v>-27823</v>
      </c>
      <c r="F93" s="5">
        <v>-19088</v>
      </c>
      <c r="G93" s="5">
        <v>-14369</v>
      </c>
      <c r="H93" s="5">
        <v>-8960</v>
      </c>
      <c r="I93" s="5">
        <v>-14791</v>
      </c>
      <c r="J93" s="5">
        <v>-12405</v>
      </c>
      <c r="K93" s="2" t="s">
        <v>2</v>
      </c>
    </row>
    <row r="94" spans="1:11" ht="12.75">
      <c r="A94" s="1" t="s">
        <v>80</v>
      </c>
      <c r="B94" s="2" t="s">
        <v>7</v>
      </c>
      <c r="C94" s="2" t="s">
        <v>7</v>
      </c>
      <c r="D94" s="2" t="s">
        <v>7</v>
      </c>
      <c r="E94" s="2" t="s">
        <v>7</v>
      </c>
      <c r="F94" s="2" t="s">
        <v>7</v>
      </c>
      <c r="G94" s="2" t="s">
        <v>7</v>
      </c>
      <c r="H94" s="2" t="s">
        <v>7</v>
      </c>
      <c r="I94" s="2" t="s">
        <v>7</v>
      </c>
      <c r="J94" s="5">
        <v>-5336</v>
      </c>
      <c r="K94" s="2" t="s">
        <v>2</v>
      </c>
    </row>
    <row r="95" spans="1:11" ht="12.75">
      <c r="A95" s="1" t="s">
        <v>81</v>
      </c>
      <c r="B95" s="5">
        <v>9584</v>
      </c>
      <c r="C95" s="5">
        <v>1298</v>
      </c>
      <c r="D95" s="5">
        <v>-3428</v>
      </c>
      <c r="E95" s="2">
        <v>24</v>
      </c>
      <c r="F95" s="2">
        <v>110</v>
      </c>
      <c r="G95" s="2">
        <v>465</v>
      </c>
      <c r="H95" s="2">
        <v>-717</v>
      </c>
      <c r="I95" s="5">
        <v>-1770</v>
      </c>
      <c r="J95" s="5">
        <v>-2603</v>
      </c>
      <c r="K95" s="2" t="s">
        <v>2</v>
      </c>
    </row>
    <row r="96" spans="1:11" ht="12.75">
      <c r="A96" s="1" t="s">
        <v>82</v>
      </c>
      <c r="B96" s="2" t="s">
        <v>7</v>
      </c>
      <c r="C96" s="2" t="s">
        <v>7</v>
      </c>
      <c r="D96" s="2" t="s">
        <v>7</v>
      </c>
      <c r="E96" s="2" t="s">
        <v>7</v>
      </c>
      <c r="F96" s="2" t="s">
        <v>7</v>
      </c>
      <c r="G96" s="2" t="s">
        <v>7</v>
      </c>
      <c r="H96" s="2" t="s">
        <v>7</v>
      </c>
      <c r="I96" s="2" t="s">
        <v>7</v>
      </c>
      <c r="J96" s="2" t="s">
        <v>7</v>
      </c>
      <c r="K96" s="2" t="s">
        <v>2</v>
      </c>
    </row>
    <row r="97" spans="1:11" ht="12.75">
      <c r="A97" s="1" t="s">
        <v>83</v>
      </c>
      <c r="B97" s="5">
        <v>-39941</v>
      </c>
      <c r="C97" s="5">
        <v>-41254</v>
      </c>
      <c r="D97" s="5">
        <v>-43512</v>
      </c>
      <c r="E97" s="5">
        <v>-27799</v>
      </c>
      <c r="F97" s="5">
        <v>-18978</v>
      </c>
      <c r="G97" s="5">
        <v>-13904</v>
      </c>
      <c r="H97" s="5">
        <v>-9677</v>
      </c>
      <c r="I97" s="5">
        <v>-16561</v>
      </c>
      <c r="J97" s="5">
        <v>-20344</v>
      </c>
      <c r="K97" s="2" t="s">
        <v>2</v>
      </c>
    </row>
    <row r="98" ht="12.75">
      <c r="A98" s="1" t="s">
        <v>2</v>
      </c>
    </row>
    <row r="99" ht="25.5">
      <c r="A99" s="1" t="s">
        <v>84</v>
      </c>
    </row>
    <row r="100" spans="1:44" ht="12.75">
      <c r="A100" s="1" t="s">
        <v>71</v>
      </c>
      <c r="B100" s="3">
        <v>35976</v>
      </c>
      <c r="C100" s="3">
        <v>35611</v>
      </c>
      <c r="D100" s="3">
        <v>35246</v>
      </c>
      <c r="E100" s="3">
        <v>34880</v>
      </c>
      <c r="F100" s="3">
        <v>34515</v>
      </c>
      <c r="G100" s="3">
        <v>34150</v>
      </c>
      <c r="H100" s="3">
        <v>33785</v>
      </c>
      <c r="I100" s="3">
        <v>33419</v>
      </c>
      <c r="J100" s="3">
        <v>33054</v>
      </c>
      <c r="K100" s="4" t="s">
        <v>2</v>
      </c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</row>
    <row r="101" spans="1:11" ht="12.75">
      <c r="A101" s="1" t="s">
        <v>85</v>
      </c>
      <c r="B101" s="5">
        <v>2310</v>
      </c>
      <c r="C101" s="5">
        <v>2736</v>
      </c>
      <c r="D101" s="5">
        <v>37921</v>
      </c>
      <c r="E101" s="2">
        <v>390</v>
      </c>
      <c r="F101" s="2">
        <v>65</v>
      </c>
      <c r="G101" s="5">
        <v>32318</v>
      </c>
      <c r="H101" s="2" t="s">
        <v>7</v>
      </c>
      <c r="I101" s="2" t="s">
        <v>7</v>
      </c>
      <c r="J101" s="2">
        <v>300</v>
      </c>
      <c r="K101" s="2" t="s">
        <v>2</v>
      </c>
    </row>
    <row r="102" spans="1:11" ht="12.75">
      <c r="A102" s="1" t="s">
        <v>86</v>
      </c>
      <c r="B102" s="5">
        <v>95000</v>
      </c>
      <c r="C102" s="5">
        <v>60000</v>
      </c>
      <c r="D102" s="5">
        <v>40368</v>
      </c>
      <c r="E102" s="5">
        <v>43547</v>
      </c>
      <c r="F102" s="5">
        <v>7557</v>
      </c>
      <c r="G102" s="5">
        <v>1977</v>
      </c>
      <c r="H102" s="5">
        <v>2950</v>
      </c>
      <c r="I102" s="5">
        <v>6299</v>
      </c>
      <c r="J102" s="2" t="s">
        <v>7</v>
      </c>
      <c r="K102" s="2" t="s">
        <v>2</v>
      </c>
    </row>
    <row r="103" spans="1:11" ht="12.75">
      <c r="A103" s="1" t="s">
        <v>87</v>
      </c>
      <c r="B103" s="5">
        <v>-35066</v>
      </c>
      <c r="C103" s="5">
        <v>-14624</v>
      </c>
      <c r="D103" s="5">
        <v>-37169</v>
      </c>
      <c r="E103" s="5">
        <v>-31860</v>
      </c>
      <c r="F103" s="5">
        <v>4753</v>
      </c>
      <c r="G103" s="5">
        <v>-21646</v>
      </c>
      <c r="H103" s="5">
        <v>7506</v>
      </c>
      <c r="I103" s="5">
        <v>4978</v>
      </c>
      <c r="J103" s="5">
        <v>20402</v>
      </c>
      <c r="K103" s="2" t="s">
        <v>2</v>
      </c>
    </row>
    <row r="104" spans="1:11" ht="12.75">
      <c r="A104" s="1" t="s">
        <v>88</v>
      </c>
      <c r="B104" s="2" t="s">
        <v>7</v>
      </c>
      <c r="C104" s="2" t="s">
        <v>7</v>
      </c>
      <c r="D104" s="2" t="s">
        <v>7</v>
      </c>
      <c r="E104" s="2" t="s">
        <v>7</v>
      </c>
      <c r="F104" s="2" t="s">
        <v>7</v>
      </c>
      <c r="G104" s="2">
        <v>-500</v>
      </c>
      <c r="H104" s="2">
        <v>-500</v>
      </c>
      <c r="I104" s="2">
        <v>-780</v>
      </c>
      <c r="J104" s="5">
        <v>-1001</v>
      </c>
      <c r="K104" s="2" t="s">
        <v>2</v>
      </c>
    </row>
    <row r="105" spans="1:11" ht="12.75">
      <c r="A105" s="1" t="s">
        <v>82</v>
      </c>
      <c r="B105" s="5">
        <v>-1300</v>
      </c>
      <c r="C105" s="5">
        <v>-3316</v>
      </c>
      <c r="D105" s="2">
        <v>-10</v>
      </c>
      <c r="E105" s="2">
        <v>310</v>
      </c>
      <c r="F105" s="2">
        <v>-222</v>
      </c>
      <c r="G105" s="2">
        <v>-203</v>
      </c>
      <c r="H105" s="2">
        <v>-25</v>
      </c>
      <c r="I105" s="2">
        <v>-120</v>
      </c>
      <c r="J105" s="2">
        <v>115</v>
      </c>
      <c r="K105" s="2" t="s">
        <v>2</v>
      </c>
    </row>
    <row r="106" spans="1:11" ht="12.75">
      <c r="A106" s="1" t="s">
        <v>89</v>
      </c>
      <c r="B106" s="5">
        <v>60944</v>
      </c>
      <c r="C106" s="5">
        <v>44796</v>
      </c>
      <c r="D106" s="5">
        <v>41110</v>
      </c>
      <c r="E106" s="5">
        <v>12387</v>
      </c>
      <c r="F106" s="5">
        <v>12153</v>
      </c>
      <c r="G106" s="5">
        <v>11946</v>
      </c>
      <c r="H106" s="5">
        <v>9931</v>
      </c>
      <c r="I106" s="5">
        <v>10377</v>
      </c>
      <c r="J106" s="5">
        <v>19816</v>
      </c>
      <c r="K106" s="2" t="s">
        <v>2</v>
      </c>
    </row>
    <row r="107" spans="1:11" ht="12.75">
      <c r="A107" s="1" t="s">
        <v>90</v>
      </c>
      <c r="B107" s="2" t="s">
        <v>7</v>
      </c>
      <c r="C107" s="2" t="s">
        <v>7</v>
      </c>
      <c r="D107" s="2" t="s">
        <v>7</v>
      </c>
      <c r="E107" s="2" t="s">
        <v>7</v>
      </c>
      <c r="F107" s="2" t="s">
        <v>7</v>
      </c>
      <c r="G107" s="2" t="s">
        <v>7</v>
      </c>
      <c r="H107" s="2" t="s">
        <v>7</v>
      </c>
      <c r="I107" s="2" t="s">
        <v>7</v>
      </c>
      <c r="J107" s="2" t="s">
        <v>7</v>
      </c>
      <c r="K107" s="2" t="s">
        <v>2</v>
      </c>
    </row>
    <row r="108" spans="1:11" ht="12.75">
      <c r="A108" s="1" t="s">
        <v>91</v>
      </c>
      <c r="B108" s="5">
        <v>2533</v>
      </c>
      <c r="C108" s="2">
        <v>150</v>
      </c>
      <c r="D108" s="2">
        <v>-900</v>
      </c>
      <c r="E108" s="2">
        <v>507</v>
      </c>
      <c r="F108" s="2">
        <v>138</v>
      </c>
      <c r="G108" s="2">
        <v>-305</v>
      </c>
      <c r="H108" s="2">
        <v>-458</v>
      </c>
      <c r="I108" s="2">
        <v>-17</v>
      </c>
      <c r="J108" s="2">
        <v>-84</v>
      </c>
      <c r="K108" s="2" t="s">
        <v>2</v>
      </c>
    </row>
    <row r="109" spans="1:11" ht="12.75">
      <c r="A109" s="1" t="s">
        <v>92</v>
      </c>
      <c r="B109" s="2">
        <v>150</v>
      </c>
      <c r="C109" s="2" t="s">
        <v>7</v>
      </c>
      <c r="D109" s="2">
        <v>900</v>
      </c>
      <c r="E109" s="2">
        <v>393</v>
      </c>
      <c r="F109" s="2">
        <v>255</v>
      </c>
      <c r="G109" s="2">
        <v>560</v>
      </c>
      <c r="H109" s="5">
        <v>1018</v>
      </c>
      <c r="I109" s="5">
        <v>1035</v>
      </c>
      <c r="J109" s="5">
        <v>1119</v>
      </c>
      <c r="K109" s="2" t="s">
        <v>2</v>
      </c>
    </row>
    <row r="110" spans="1:11" ht="12.75">
      <c r="A110" s="1" t="s">
        <v>93</v>
      </c>
      <c r="B110" s="5">
        <v>2683</v>
      </c>
      <c r="C110" s="2">
        <v>150</v>
      </c>
      <c r="D110" s="2" t="s">
        <v>7</v>
      </c>
      <c r="E110" s="2">
        <v>900</v>
      </c>
      <c r="F110" s="2">
        <v>393</v>
      </c>
      <c r="G110" s="2">
        <v>255</v>
      </c>
      <c r="H110" s="2">
        <v>560</v>
      </c>
      <c r="I110" s="5">
        <v>1018</v>
      </c>
      <c r="J110" s="5">
        <v>1035</v>
      </c>
      <c r="K110" s="2" t="s">
        <v>2</v>
      </c>
    </row>
  </sheetData>
  <printOptions/>
  <pageMargins left="0.5" right="0.5" top="0.5" bottom="0.5" header="0.5" footer="0.25"/>
  <pageSetup fitToHeight="2" fitToWidth="2" orientation="landscape" scale="74" r:id="rId2"/>
  <headerFooter alignWithMargins="0">
    <oddFooter>&amp;R&amp;8Project_2
Ma/Chiu/Donovan/Huang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95"/>
  <sheetViews>
    <sheetView zoomScale="75" zoomScaleNormal="75" workbookViewId="0" topLeftCell="A1">
      <selection activeCell="H125" sqref="H125"/>
    </sheetView>
  </sheetViews>
  <sheetFormatPr defaultColWidth="9.140625" defaultRowHeight="12.75"/>
  <cols>
    <col min="1" max="1" width="12.28125" style="132" customWidth="1"/>
    <col min="2" max="2" width="9.57421875" style="0" customWidth="1"/>
    <col min="3" max="4" width="10.8515625" style="0" customWidth="1"/>
    <col min="5" max="5" width="11.8515625" style="0" customWidth="1"/>
    <col min="6" max="6" width="9.8515625" style="0" customWidth="1"/>
    <col min="7" max="11" width="9.7109375" style="0" customWidth="1"/>
    <col min="12" max="16384" width="11.421875" style="0" customWidth="1"/>
  </cols>
  <sheetData>
    <row r="1" s="8" customFormat="1" ht="19.5" customHeight="1">
      <c r="A1" s="7" t="s">
        <v>94</v>
      </c>
    </row>
    <row r="2" spans="1:7" s="8" customFormat="1" ht="19.5" customHeight="1">
      <c r="A2" s="7" t="s">
        <v>95</v>
      </c>
      <c r="E2" s="9" t="s">
        <v>96</v>
      </c>
      <c r="F2" s="10"/>
      <c r="G2" s="11"/>
    </row>
    <row r="3" spans="1:7" s="8" customFormat="1" ht="19.5" customHeight="1">
      <c r="A3" s="7"/>
      <c r="E3" s="12"/>
      <c r="F3" s="12"/>
      <c r="G3" s="12"/>
    </row>
    <row r="4" spans="1:7" s="8" customFormat="1" ht="19.5" customHeight="1">
      <c r="A4" s="13" t="s">
        <v>97</v>
      </c>
      <c r="E4" s="12"/>
      <c r="F4" s="14"/>
      <c r="G4" s="14"/>
    </row>
    <row r="5" spans="1:7" s="8" customFormat="1" ht="19.5" customHeight="1">
      <c r="A5" s="7" t="s">
        <v>98</v>
      </c>
      <c r="E5" s="15">
        <f>'Financial Information'!B68+'Financial Information'!B70</f>
        <v>59867</v>
      </c>
      <c r="F5" s="14" t="s">
        <v>99</v>
      </c>
      <c r="G5" s="12"/>
    </row>
    <row r="6" spans="1:7" s="8" customFormat="1" ht="19.5" customHeight="1">
      <c r="A6" s="7" t="s">
        <v>100</v>
      </c>
      <c r="E6" s="15">
        <f>'Financial Information'!B85</f>
        <v>13665</v>
      </c>
      <c r="F6" s="14" t="s">
        <v>99</v>
      </c>
      <c r="G6" s="12"/>
    </row>
    <row r="7" spans="1:7" s="8" customFormat="1" ht="19.5" customHeight="1">
      <c r="A7" s="7" t="s">
        <v>101</v>
      </c>
      <c r="E7" s="15">
        <f>'Financial Information'!B97</f>
        <v>-39941</v>
      </c>
      <c r="F7" s="14" t="s">
        <v>99</v>
      </c>
      <c r="G7" s="12"/>
    </row>
    <row r="8" spans="1:7" s="8" customFormat="1" ht="19.5" customHeight="1">
      <c r="A8" s="7" t="s">
        <v>102</v>
      </c>
      <c r="E8" s="15">
        <f>'Financial Information'!B71</f>
        <v>12298</v>
      </c>
      <c r="F8" s="14" t="s">
        <v>99</v>
      </c>
      <c r="G8" s="12"/>
    </row>
    <row r="9" spans="1:7" s="8" customFormat="1" ht="19.5" customHeight="1">
      <c r="A9" s="7" t="s">
        <v>103</v>
      </c>
      <c r="E9" s="16"/>
      <c r="F9" s="12" t="s">
        <v>104</v>
      </c>
      <c r="G9" s="12"/>
    </row>
    <row r="10" spans="1:7" s="8" customFormat="1" ht="19.5" customHeight="1">
      <c r="A10" s="7" t="s">
        <v>105</v>
      </c>
      <c r="E10" s="17"/>
      <c r="F10" s="18" t="s">
        <v>106</v>
      </c>
      <c r="G10" s="12"/>
    </row>
    <row r="11" spans="1:7" s="8" customFormat="1" ht="19.5" customHeight="1">
      <c r="A11" s="7" t="s">
        <v>107</v>
      </c>
      <c r="E11" s="17">
        <v>0.39</v>
      </c>
      <c r="F11" s="12" t="s">
        <v>108</v>
      </c>
      <c r="G11" s="12"/>
    </row>
    <row r="12" spans="1:7" s="8" customFormat="1" ht="19.5" customHeight="1">
      <c r="A12" s="7"/>
      <c r="E12" s="12"/>
      <c r="F12" s="12"/>
      <c r="G12" s="12"/>
    </row>
    <row r="13" spans="1:7" s="8" customFormat="1" ht="19.5" customHeight="1">
      <c r="A13" s="7" t="s">
        <v>109</v>
      </c>
      <c r="E13" s="133">
        <f>'Financial Information'!B80</f>
        <v>15356</v>
      </c>
      <c r="F13" s="12" t="s">
        <v>110</v>
      </c>
      <c r="G13" s="12"/>
    </row>
    <row r="14" spans="1:8" s="8" customFormat="1" ht="19.5" customHeight="1">
      <c r="A14" s="7" t="s">
        <v>111</v>
      </c>
      <c r="E14" s="15">
        <v>36.25</v>
      </c>
      <c r="F14" s="12" t="s">
        <v>99</v>
      </c>
      <c r="G14" s="12"/>
      <c r="H14" s="134" t="s">
        <v>112</v>
      </c>
    </row>
    <row r="15" spans="1:8" s="8" customFormat="1" ht="19.5" customHeight="1">
      <c r="A15" s="7" t="s">
        <v>113</v>
      </c>
      <c r="E15" s="19">
        <v>1.81</v>
      </c>
      <c r="F15" s="12"/>
      <c r="G15" s="12"/>
      <c r="H15" s="134" t="s">
        <v>112</v>
      </c>
    </row>
    <row r="16" spans="1:7" s="8" customFormat="1" ht="19.5" customHeight="1">
      <c r="A16" s="7" t="s">
        <v>114</v>
      </c>
      <c r="E16" s="15">
        <f>'Financial Information'!B47</f>
        <v>222557</v>
      </c>
      <c r="F16" s="12" t="s">
        <v>99</v>
      </c>
      <c r="G16" s="12"/>
    </row>
    <row r="17" spans="1:7" s="8" customFormat="1" ht="19.5" customHeight="1">
      <c r="A17" s="7" t="s">
        <v>115</v>
      </c>
      <c r="E17" s="19" t="s">
        <v>116</v>
      </c>
      <c r="F17" s="12" t="s">
        <v>117</v>
      </c>
      <c r="G17" s="12"/>
    </row>
    <row r="18" spans="1:7" s="8" customFormat="1" ht="19.5" customHeight="1">
      <c r="A18" s="7" t="s">
        <v>118</v>
      </c>
      <c r="E18" s="15"/>
      <c r="F18" s="12" t="s">
        <v>99</v>
      </c>
      <c r="G18" s="12"/>
    </row>
    <row r="19" spans="1:7" s="8" customFormat="1" ht="19.5" customHeight="1">
      <c r="A19" s="7"/>
      <c r="E19" s="20"/>
      <c r="F19" s="12"/>
      <c r="G19" s="12"/>
    </row>
    <row r="20" spans="1:7" s="8" customFormat="1" ht="19.5" customHeight="1">
      <c r="A20" s="13" t="s">
        <v>119</v>
      </c>
      <c r="E20" s="12"/>
      <c r="F20" s="12"/>
      <c r="G20" s="12"/>
    </row>
    <row r="21" spans="1:8" s="8" customFormat="1" ht="19.5" customHeight="1">
      <c r="A21" s="7" t="s">
        <v>120</v>
      </c>
      <c r="E21" s="21">
        <v>0.0436</v>
      </c>
      <c r="F21" s="12" t="s">
        <v>108</v>
      </c>
      <c r="G21" s="12"/>
      <c r="H21" s="134" t="s">
        <v>121</v>
      </c>
    </row>
    <row r="22" spans="1:8" s="8" customFormat="1" ht="19.5" customHeight="1">
      <c r="A22" s="7" t="s">
        <v>122</v>
      </c>
      <c r="E22" s="21">
        <v>0.05038</v>
      </c>
      <c r="F22" s="12" t="s">
        <v>108</v>
      </c>
      <c r="G22" s="12"/>
      <c r="H22" s="134" t="s">
        <v>123</v>
      </c>
    </row>
    <row r="23" spans="1:7" s="8" customFormat="1" ht="19.5" customHeight="1">
      <c r="A23" s="7" t="s">
        <v>124</v>
      </c>
      <c r="E23" s="12"/>
      <c r="F23" s="19" t="s">
        <v>125</v>
      </c>
      <c r="G23" s="12" t="s">
        <v>126</v>
      </c>
    </row>
    <row r="24" spans="1:7" s="8" customFormat="1" ht="19.5" customHeight="1">
      <c r="A24" s="7" t="s">
        <v>127</v>
      </c>
      <c r="E24" s="21">
        <v>0.055</v>
      </c>
      <c r="F24" s="12" t="s">
        <v>108</v>
      </c>
      <c r="G24" s="12"/>
    </row>
    <row r="25" s="8" customFormat="1" ht="19.5" customHeight="1">
      <c r="A25" s="7"/>
    </row>
    <row r="26" s="8" customFormat="1" ht="19.5" customHeight="1">
      <c r="A26" s="13" t="s">
        <v>128</v>
      </c>
    </row>
    <row r="27" s="8" customFormat="1" ht="19.5" customHeight="1">
      <c r="A27" s="22" t="s">
        <v>129</v>
      </c>
    </row>
    <row r="28" spans="1:4" s="8" customFormat="1" ht="19.5" customHeight="1">
      <c r="A28" s="23" t="s">
        <v>130</v>
      </c>
      <c r="B28" s="23"/>
      <c r="C28" s="13"/>
      <c r="D28" s="13"/>
    </row>
    <row r="29" spans="1:5" s="8" customFormat="1" ht="19.5" customHeight="1">
      <c r="A29" s="24" t="s">
        <v>131</v>
      </c>
      <c r="B29" s="24" t="s">
        <v>132</v>
      </c>
      <c r="C29" s="24" t="s">
        <v>133</v>
      </c>
      <c r="D29" s="25" t="s">
        <v>134</v>
      </c>
      <c r="E29" s="26"/>
    </row>
    <row r="30" spans="1:5" s="8" customFormat="1" ht="19.5" customHeight="1">
      <c r="A30" s="12">
        <v>-100000</v>
      </c>
      <c r="B30" s="12">
        <v>0.2499999</v>
      </c>
      <c r="C30" s="12" t="s">
        <v>135</v>
      </c>
      <c r="D30" s="27">
        <v>0.12</v>
      </c>
      <c r="E30" s="26"/>
    </row>
    <row r="31" spans="1:5" s="8" customFormat="1" ht="19.5" customHeight="1">
      <c r="A31" s="12">
        <v>0.25</v>
      </c>
      <c r="B31" s="12">
        <v>0.6699999</v>
      </c>
      <c r="C31" s="12" t="s">
        <v>136</v>
      </c>
      <c r="D31" s="27">
        <v>0.09</v>
      </c>
      <c r="E31" s="26"/>
    </row>
    <row r="32" spans="1:5" s="8" customFormat="1" ht="19.5" customHeight="1">
      <c r="A32" s="12">
        <v>0.67</v>
      </c>
      <c r="B32" s="12">
        <v>0.8699999</v>
      </c>
      <c r="C32" s="12" t="s">
        <v>137</v>
      </c>
      <c r="D32" s="27">
        <v>0.075</v>
      </c>
      <c r="E32" s="26"/>
    </row>
    <row r="33" spans="1:5" s="8" customFormat="1" ht="19.5" customHeight="1">
      <c r="A33" s="12">
        <v>0.87</v>
      </c>
      <c r="B33" s="12">
        <v>1.2699999</v>
      </c>
      <c r="C33" s="12" t="s">
        <v>138</v>
      </c>
      <c r="D33" s="27">
        <v>0.06</v>
      </c>
      <c r="E33" s="26"/>
    </row>
    <row r="34" spans="1:5" s="8" customFormat="1" ht="19.5" customHeight="1">
      <c r="A34" s="12">
        <v>1.27</v>
      </c>
      <c r="B34" s="12">
        <v>1.5699999</v>
      </c>
      <c r="C34" s="12" t="s">
        <v>139</v>
      </c>
      <c r="D34" s="27">
        <v>0.05</v>
      </c>
      <c r="E34" s="26"/>
    </row>
    <row r="35" spans="1:5" s="8" customFormat="1" ht="19.5" customHeight="1">
      <c r="A35" s="12">
        <v>1.57</v>
      </c>
      <c r="B35" s="12">
        <v>1.8699999</v>
      </c>
      <c r="C35" s="12" t="s">
        <v>140</v>
      </c>
      <c r="D35" s="27">
        <v>0.04</v>
      </c>
      <c r="E35" s="26"/>
    </row>
    <row r="36" spans="1:5" s="8" customFormat="1" ht="19.5" customHeight="1">
      <c r="A36" s="12">
        <v>1.87</v>
      </c>
      <c r="B36" s="12">
        <v>2.1699999</v>
      </c>
      <c r="C36" s="12" t="s">
        <v>141</v>
      </c>
      <c r="D36" s="27">
        <v>0.03</v>
      </c>
      <c r="E36" s="26"/>
    </row>
    <row r="37" spans="1:5" s="8" customFormat="1" ht="19.5" customHeight="1">
      <c r="A37" s="12">
        <v>2.17</v>
      </c>
      <c r="B37" s="12">
        <v>2.7599999</v>
      </c>
      <c r="C37" s="12" t="s">
        <v>142</v>
      </c>
      <c r="D37" s="27">
        <v>0.025</v>
      </c>
      <c r="E37" s="26"/>
    </row>
    <row r="38" spans="1:5" s="8" customFormat="1" ht="19.5" customHeight="1">
      <c r="A38" s="12">
        <v>2.76</v>
      </c>
      <c r="B38" s="12">
        <v>3.2899999</v>
      </c>
      <c r="C38" s="12" t="s">
        <v>143</v>
      </c>
      <c r="D38" s="27">
        <v>0.02</v>
      </c>
      <c r="E38" s="26"/>
    </row>
    <row r="39" spans="1:5" s="8" customFormat="1" ht="19.5" customHeight="1">
      <c r="A39" s="12">
        <v>3.29</v>
      </c>
      <c r="B39" s="12">
        <v>4.4899999</v>
      </c>
      <c r="C39" s="12" t="s">
        <v>144</v>
      </c>
      <c r="D39" s="27">
        <v>0.015</v>
      </c>
      <c r="E39" s="26"/>
    </row>
    <row r="40" spans="1:5" s="8" customFormat="1" ht="19.5" customHeight="1">
      <c r="A40" s="12">
        <v>4.49</v>
      </c>
      <c r="B40" s="12">
        <v>5.649999</v>
      </c>
      <c r="C40" s="12" t="s">
        <v>145</v>
      </c>
      <c r="D40" s="27">
        <v>0.0125</v>
      </c>
      <c r="E40" s="26"/>
    </row>
    <row r="41" spans="1:5" s="8" customFormat="1" ht="19.5" customHeight="1">
      <c r="A41" s="12">
        <v>5.65</v>
      </c>
      <c r="B41" s="12">
        <v>6.849999</v>
      </c>
      <c r="C41" s="12" t="s">
        <v>146</v>
      </c>
      <c r="D41" s="27">
        <v>0.01</v>
      </c>
      <c r="E41" s="26"/>
    </row>
    <row r="42" spans="1:5" s="8" customFormat="1" ht="19.5" customHeight="1">
      <c r="A42" s="12">
        <v>6.85</v>
      </c>
      <c r="B42" s="12">
        <v>9.349999</v>
      </c>
      <c r="C42" s="12" t="s">
        <v>147</v>
      </c>
      <c r="D42" s="27">
        <v>0.007</v>
      </c>
      <c r="E42" s="26"/>
    </row>
    <row r="43" spans="1:5" s="8" customFormat="1" ht="19.5" customHeight="1">
      <c r="A43" s="28">
        <v>9.65</v>
      </c>
      <c r="B43" s="12">
        <v>100000</v>
      </c>
      <c r="C43" s="12" t="s">
        <v>148</v>
      </c>
      <c r="D43" s="27">
        <v>0.003</v>
      </c>
      <c r="E43" s="26"/>
    </row>
    <row r="44" spans="1:5" s="8" customFormat="1" ht="19.5" customHeight="1">
      <c r="A44" s="24"/>
      <c r="B44" s="24"/>
      <c r="C44" s="24"/>
      <c r="D44" s="24"/>
      <c r="E44" s="26"/>
    </row>
    <row r="45" spans="1:5" s="8" customFormat="1" ht="19.5" customHeight="1">
      <c r="A45" s="18" t="s">
        <v>149</v>
      </c>
      <c r="B45" s="24"/>
      <c r="C45" s="24"/>
      <c r="D45" s="19" t="s">
        <v>116</v>
      </c>
      <c r="E45" s="12" t="s">
        <v>117</v>
      </c>
    </row>
    <row r="46" spans="1:5" s="8" customFormat="1" ht="19.5" customHeight="1">
      <c r="A46" s="24"/>
      <c r="B46" s="24"/>
      <c r="C46" s="24"/>
      <c r="D46" s="24"/>
      <c r="E46" s="26"/>
    </row>
    <row r="47" spans="1:5" s="8" customFormat="1" ht="19.5" customHeight="1">
      <c r="A47" s="29" t="s">
        <v>150</v>
      </c>
      <c r="B47" s="24"/>
      <c r="C47" s="24"/>
      <c r="D47" s="24"/>
      <c r="E47" s="26"/>
    </row>
    <row r="48" spans="1:5" s="8" customFormat="1" ht="19.5" customHeight="1">
      <c r="A48" s="23" t="s">
        <v>130</v>
      </c>
      <c r="B48" s="23"/>
      <c r="C48" s="13"/>
      <c r="D48" s="13"/>
      <c r="E48" s="26"/>
    </row>
    <row r="49" spans="1:5" s="8" customFormat="1" ht="19.5" customHeight="1">
      <c r="A49" s="24" t="s">
        <v>131</v>
      </c>
      <c r="B49" s="24" t="s">
        <v>132</v>
      </c>
      <c r="C49" s="24" t="s">
        <v>133</v>
      </c>
      <c r="D49" s="24" t="s">
        <v>151</v>
      </c>
      <c r="E49" s="25" t="s">
        <v>152</v>
      </c>
    </row>
    <row r="50" spans="1:5" s="8" customFormat="1" ht="19.5" customHeight="1">
      <c r="A50" s="12">
        <v>-100000</v>
      </c>
      <c r="B50" s="12">
        <v>0.2499999</v>
      </c>
      <c r="C50" s="12" t="s">
        <v>135</v>
      </c>
      <c r="D50" s="27">
        <v>0.12</v>
      </c>
      <c r="E50" s="30">
        <v>-0.5</v>
      </c>
    </row>
    <row r="51" spans="1:5" s="8" customFormat="1" ht="19.5" customHeight="1">
      <c r="A51" s="12">
        <v>0.25</v>
      </c>
      <c r="B51" s="12">
        <v>0.499999</v>
      </c>
      <c r="C51" s="12" t="s">
        <v>136</v>
      </c>
      <c r="D51" s="27">
        <v>0.09</v>
      </c>
      <c r="E51" s="30">
        <v>-0.4</v>
      </c>
    </row>
    <row r="52" spans="1:5" s="8" customFormat="1" ht="19.5" customHeight="1">
      <c r="A52" s="12">
        <v>0.5</v>
      </c>
      <c r="B52" s="12">
        <v>0.749999</v>
      </c>
      <c r="C52" s="12" t="s">
        <v>137</v>
      </c>
      <c r="D52" s="27">
        <v>0.075</v>
      </c>
      <c r="E52" s="30">
        <v>-0.4</v>
      </c>
    </row>
    <row r="53" spans="1:5" s="8" customFormat="1" ht="19.5" customHeight="1">
      <c r="A53" s="12">
        <v>0.75</v>
      </c>
      <c r="B53" s="12">
        <v>0.899999</v>
      </c>
      <c r="C53" s="12" t="s">
        <v>138</v>
      </c>
      <c r="D53" s="27">
        <v>0.06</v>
      </c>
      <c r="E53" s="30">
        <v>-0.4</v>
      </c>
    </row>
    <row r="54" spans="1:5" s="8" customFormat="1" ht="19.5" customHeight="1">
      <c r="A54" s="12">
        <v>0.9</v>
      </c>
      <c r="B54" s="12">
        <v>0.999999</v>
      </c>
      <c r="C54" s="12" t="s">
        <v>139</v>
      </c>
      <c r="D54" s="27">
        <v>0.05</v>
      </c>
      <c r="E54" s="31">
        <v>-0.25</v>
      </c>
    </row>
    <row r="55" spans="1:5" s="8" customFormat="1" ht="19.5" customHeight="1">
      <c r="A55" s="12">
        <v>1</v>
      </c>
      <c r="B55" s="12">
        <v>1.249999</v>
      </c>
      <c r="C55" s="12" t="s">
        <v>140</v>
      </c>
      <c r="D55" s="27">
        <v>0.04</v>
      </c>
      <c r="E55" s="30">
        <v>-0.2</v>
      </c>
    </row>
    <row r="56" spans="1:5" s="8" customFormat="1" ht="19.5" customHeight="1">
      <c r="A56" s="12">
        <v>1.25</v>
      </c>
      <c r="B56" s="12">
        <v>1.499999</v>
      </c>
      <c r="C56" s="12" t="s">
        <v>141</v>
      </c>
      <c r="D56" s="27">
        <v>0.03</v>
      </c>
      <c r="E56" s="30">
        <v>-0.2</v>
      </c>
    </row>
    <row r="57" spans="1:5" s="8" customFormat="1" ht="19.5" customHeight="1">
      <c r="A57" s="12">
        <v>1.5</v>
      </c>
      <c r="B57" s="12">
        <v>1.999999</v>
      </c>
      <c r="C57" s="12" t="s">
        <v>142</v>
      </c>
      <c r="D57" s="27">
        <v>0.025</v>
      </c>
      <c r="E57" s="30">
        <v>-0.2</v>
      </c>
    </row>
    <row r="58" spans="1:5" s="8" customFormat="1" ht="19.5" customHeight="1">
      <c r="A58" s="12">
        <v>2</v>
      </c>
      <c r="B58" s="12">
        <v>2.249999</v>
      </c>
      <c r="C58" s="12" t="s">
        <v>143</v>
      </c>
      <c r="D58" s="27">
        <v>0.02</v>
      </c>
      <c r="E58" s="30">
        <v>-0.12</v>
      </c>
    </row>
    <row r="59" spans="1:5" s="8" customFormat="1" ht="19.5" customHeight="1">
      <c r="A59" s="12">
        <v>2.25</v>
      </c>
      <c r="B59" s="12">
        <v>2.699999</v>
      </c>
      <c r="C59" s="12" t="s">
        <v>144</v>
      </c>
      <c r="D59" s="27">
        <v>0.015</v>
      </c>
      <c r="E59" s="30">
        <v>-0.1</v>
      </c>
    </row>
    <row r="60" spans="1:5" s="8" customFormat="1" ht="19.5" customHeight="1">
      <c r="A60" s="12">
        <v>2.7</v>
      </c>
      <c r="B60" s="12">
        <v>3.299999</v>
      </c>
      <c r="C60" s="12" t="s">
        <v>145</v>
      </c>
      <c r="D60" s="27">
        <v>0.0125</v>
      </c>
      <c r="E60" s="30">
        <v>-0.08</v>
      </c>
    </row>
    <row r="61" spans="1:5" s="8" customFormat="1" ht="19.5" customHeight="1">
      <c r="A61" s="12">
        <v>3.3</v>
      </c>
      <c r="B61" s="12">
        <v>4.049999</v>
      </c>
      <c r="C61" s="12" t="s">
        <v>146</v>
      </c>
      <c r="D61" s="27">
        <v>0.01</v>
      </c>
      <c r="E61" s="30">
        <v>-0.06</v>
      </c>
    </row>
    <row r="62" spans="1:5" s="8" customFormat="1" ht="19.5" customHeight="1">
      <c r="A62" s="12">
        <v>4.05</v>
      </c>
      <c r="B62" s="12">
        <v>4.649999</v>
      </c>
      <c r="C62" s="12" t="s">
        <v>147</v>
      </c>
      <c r="D62" s="27">
        <v>0.007</v>
      </c>
      <c r="E62" s="30">
        <v>-0.05</v>
      </c>
    </row>
    <row r="63" spans="1:5" s="8" customFormat="1" ht="19.5" customHeight="1">
      <c r="A63" s="28">
        <v>4.65</v>
      </c>
      <c r="B63" s="12">
        <v>100000</v>
      </c>
      <c r="C63" s="12" t="s">
        <v>148</v>
      </c>
      <c r="D63" s="27">
        <v>0.003</v>
      </c>
      <c r="E63" s="30">
        <v>0</v>
      </c>
    </row>
    <row r="64" spans="1:4" s="8" customFormat="1" ht="19.5" customHeight="1">
      <c r="A64" s="28"/>
      <c r="B64" s="12"/>
      <c r="C64" s="12"/>
      <c r="D64" s="27"/>
    </row>
    <row r="65" spans="1:4" s="8" customFormat="1" ht="19.5" customHeight="1">
      <c r="A65" s="32" t="s">
        <v>153</v>
      </c>
      <c r="B65" s="12"/>
      <c r="C65" s="12"/>
      <c r="D65" s="27"/>
    </row>
    <row r="66" spans="1:4" s="8" customFormat="1" ht="19.5" customHeight="1">
      <c r="A66" s="32" t="s">
        <v>154</v>
      </c>
      <c r="B66" s="12"/>
      <c r="C66" s="12"/>
      <c r="D66" s="27"/>
    </row>
    <row r="67" spans="1:8" s="8" customFormat="1" ht="19.5" customHeight="1">
      <c r="A67" s="33" t="s">
        <v>155</v>
      </c>
      <c r="B67" s="12"/>
      <c r="C67" s="12"/>
      <c r="D67" s="27"/>
      <c r="G67" s="19" t="s">
        <v>156</v>
      </c>
      <c r="H67" s="12" t="s">
        <v>117</v>
      </c>
    </row>
    <row r="68" spans="1:8" s="8" customFormat="1" ht="19.5" customHeight="1">
      <c r="A68" s="32" t="s">
        <v>157</v>
      </c>
      <c r="B68" s="12"/>
      <c r="C68" s="12"/>
      <c r="D68" s="27"/>
      <c r="G68" s="14"/>
      <c r="H68" s="12"/>
    </row>
    <row r="69" spans="1:8" s="8" customFormat="1" ht="19.5" customHeight="1">
      <c r="A69" s="7" t="s">
        <v>158</v>
      </c>
      <c r="G69" s="19" t="s">
        <v>116</v>
      </c>
      <c r="H69" s="12" t="s">
        <v>117</v>
      </c>
    </row>
    <row r="70" s="8" customFormat="1" ht="12.75">
      <c r="A70" s="7"/>
    </row>
    <row r="71" spans="4:8" s="7" customFormat="1" ht="12.75">
      <c r="D71" s="22" t="s">
        <v>159</v>
      </c>
      <c r="H71" s="22" t="str">
        <f>E2</f>
        <v>Robert Mondavi Corporation</v>
      </c>
    </row>
    <row r="72" s="7" customFormat="1" ht="13.5" thickBot="1">
      <c r="A72" s="22" t="s">
        <v>160</v>
      </c>
    </row>
    <row r="73" spans="1:9" s="13" customFormat="1" ht="13.5" thickTop="1">
      <c r="A73" s="34" t="s">
        <v>161</v>
      </c>
      <c r="B73" s="35"/>
      <c r="C73" s="35"/>
      <c r="D73" s="35" t="s">
        <v>162</v>
      </c>
      <c r="E73" s="35"/>
      <c r="F73" s="35"/>
      <c r="G73" s="35" t="s">
        <v>163</v>
      </c>
      <c r="H73" s="35"/>
      <c r="I73" s="36"/>
    </row>
    <row r="74" spans="1:9" s="7" customFormat="1" ht="12.75">
      <c r="A74" s="37" t="s">
        <v>164</v>
      </c>
      <c r="B74" s="38"/>
      <c r="C74" s="39">
        <f>E13*E14</f>
        <v>556655</v>
      </c>
      <c r="D74" s="38" t="s">
        <v>165</v>
      </c>
      <c r="E74" s="38"/>
      <c r="F74" s="14">
        <f>E15</f>
        <v>1.81</v>
      </c>
      <c r="G74" s="38" t="s">
        <v>166</v>
      </c>
      <c r="H74" s="38"/>
      <c r="I74" s="40">
        <f>E5</f>
        <v>59867</v>
      </c>
    </row>
    <row r="75" spans="1:9" s="7" customFormat="1" ht="12.75">
      <c r="A75" s="37" t="s">
        <v>167</v>
      </c>
      <c r="B75" s="38"/>
      <c r="C75" s="39">
        <f>IF(E17="Yes",E18,E16)</f>
        <v>222557</v>
      </c>
      <c r="D75" s="38" t="s">
        <v>168</v>
      </c>
      <c r="E75" s="38"/>
      <c r="F75" s="14">
        <f>E9</f>
        <v>0</v>
      </c>
      <c r="G75" s="38" t="s">
        <v>169</v>
      </c>
      <c r="H75" s="38"/>
      <c r="I75" s="40">
        <f>E6</f>
        <v>13665</v>
      </c>
    </row>
    <row r="76" spans="1:9" s="7" customFormat="1" ht="12.75">
      <c r="A76" s="37" t="s">
        <v>170</v>
      </c>
      <c r="B76" s="38"/>
      <c r="C76" s="14">
        <f>E13</f>
        <v>15356</v>
      </c>
      <c r="D76" s="38" t="s">
        <v>171</v>
      </c>
      <c r="E76" s="38"/>
      <c r="F76" s="41">
        <f>E21</f>
        <v>0.0436</v>
      </c>
      <c r="G76" s="38" t="s">
        <v>172</v>
      </c>
      <c r="H76" s="38"/>
      <c r="I76" s="42">
        <f>E11</f>
        <v>0.39</v>
      </c>
    </row>
    <row r="77" spans="1:9" s="7" customFormat="1" ht="12.75">
      <c r="A77" s="37" t="s">
        <v>173</v>
      </c>
      <c r="B77" s="38"/>
      <c r="C77" s="41">
        <f>IF(F23="ST",E21,E22)</f>
        <v>0.05038</v>
      </c>
      <c r="D77" s="38" t="s">
        <v>174</v>
      </c>
      <c r="E77" s="38"/>
      <c r="F77" s="41">
        <f>E22</f>
        <v>0.05038</v>
      </c>
      <c r="G77" s="38" t="s">
        <v>175</v>
      </c>
      <c r="H77" s="38"/>
      <c r="I77" s="43">
        <f>E7</f>
        <v>-39941</v>
      </c>
    </row>
    <row r="78" spans="1:9" s="7" customFormat="1" ht="13.5" thickBot="1">
      <c r="A78" s="44" t="s">
        <v>176</v>
      </c>
      <c r="B78" s="45"/>
      <c r="C78" s="46">
        <f>E24</f>
        <v>0.055</v>
      </c>
      <c r="D78" s="45" t="s">
        <v>177</v>
      </c>
      <c r="E78" s="45"/>
      <c r="F78" s="46">
        <f>E10</f>
        <v>0</v>
      </c>
      <c r="G78" s="45" t="s">
        <v>178</v>
      </c>
      <c r="H78" s="45"/>
      <c r="I78" s="47">
        <f>E8</f>
        <v>12298</v>
      </c>
    </row>
    <row r="79" s="7" customFormat="1" ht="14.25" thickBot="1" thickTop="1"/>
    <row r="80" spans="3:7" s="7" customFormat="1" ht="13.5" thickTop="1">
      <c r="C80" s="48" t="s">
        <v>179</v>
      </c>
      <c r="D80" s="49"/>
      <c r="E80" s="49"/>
      <c r="F80" s="49"/>
      <c r="G80" s="50"/>
    </row>
    <row r="81" spans="3:7" s="13" customFormat="1" ht="12.75">
      <c r="C81" s="51"/>
      <c r="D81" s="52"/>
      <c r="E81" s="53" t="s">
        <v>180</v>
      </c>
      <c r="F81" s="53" t="s">
        <v>181</v>
      </c>
      <c r="G81" s="54" t="s">
        <v>182</v>
      </c>
    </row>
    <row r="82" spans="3:7" s="7" customFormat="1" ht="12.75">
      <c r="C82" s="37" t="s">
        <v>183</v>
      </c>
      <c r="D82" s="38"/>
      <c r="E82" s="55">
        <f>C75/(C75+C74)</f>
        <v>0.28561803462985685</v>
      </c>
      <c r="F82" s="55">
        <f>B151*B142+C151*C142+D151*D142+E151*E142+F151*F142+G151*G142+H151*H142+I151*I142+J151*J142+K151*K142</f>
        <v>0.3</v>
      </c>
      <c r="G82" s="56">
        <f>F82-E82</f>
        <v>0.014381965370143135</v>
      </c>
    </row>
    <row r="83" spans="3:7" s="7" customFormat="1" ht="12.75">
      <c r="C83" s="37"/>
      <c r="D83" s="38"/>
      <c r="E83" s="57"/>
      <c r="F83" s="57"/>
      <c r="G83" s="58"/>
    </row>
    <row r="84" spans="3:7" s="7" customFormat="1" ht="12.75">
      <c r="C84" s="37" t="s">
        <v>184</v>
      </c>
      <c r="D84" s="38"/>
      <c r="E84" s="57">
        <f>F74</f>
        <v>1.81</v>
      </c>
      <c r="F84" s="59">
        <f>B151*B120+C151*C120+D151*D120+E151*E120+F151*F120+G151*G120+H151*H120+I151*I120+J151*J120+K151*K120</f>
        <v>1.8355280661989846</v>
      </c>
      <c r="G84" s="60">
        <f>F84-E84</f>
        <v>0.02552806619898451</v>
      </c>
    </row>
    <row r="85" spans="3:7" s="7" customFormat="1" ht="12.75">
      <c r="C85" s="37" t="s">
        <v>185</v>
      </c>
      <c r="D85" s="38"/>
      <c r="E85" s="55">
        <f>C77+F74*C78</f>
        <v>0.14993</v>
      </c>
      <c r="F85" s="55">
        <f>B151*B146+C151*C146+D151*D146+E151*E146+F151*F146+G151*G146+H151*H146+I151*I146+J151*J146+K151*K146</f>
        <v>0.15133404364094416</v>
      </c>
      <c r="G85" s="56">
        <f>F85-E85</f>
        <v>0.0014040436409441526</v>
      </c>
    </row>
    <row r="86" spans="3:7" s="7" customFormat="1" ht="12.75">
      <c r="C86" s="37"/>
      <c r="D86" s="38"/>
      <c r="E86" s="57"/>
      <c r="F86" s="57"/>
      <c r="G86" s="56"/>
    </row>
    <row r="87" spans="3:7" s="7" customFormat="1" ht="12.75">
      <c r="C87" s="37" t="s">
        <v>186</v>
      </c>
      <c r="D87" s="38"/>
      <c r="E87" s="55">
        <f>IF(G69="Yes",K99*(1-I76),F78*(1-I76))</f>
        <v>0</v>
      </c>
      <c r="F87" s="55">
        <f>B151*B148+C151*C148+D151*D148+E151*E148+F151*F148+G151*G148+H151*H148+I151*I148+J151*J148+K151*K148</f>
        <v>0.0429318</v>
      </c>
      <c r="G87" s="56">
        <f>F87-E87</f>
        <v>0.0429318</v>
      </c>
    </row>
    <row r="88" spans="3:7" s="7" customFormat="1" ht="12.75">
      <c r="C88" s="37"/>
      <c r="D88" s="38"/>
      <c r="E88" s="55"/>
      <c r="F88" s="55"/>
      <c r="G88" s="56"/>
    </row>
    <row r="89" spans="3:7" s="7" customFormat="1" ht="12.75">
      <c r="C89" s="37" t="s">
        <v>187</v>
      </c>
      <c r="D89" s="38"/>
      <c r="E89" s="55">
        <f>E85*(1-E82)+E87*E82</f>
        <v>0.10710728806794556</v>
      </c>
      <c r="F89" s="55">
        <f>MIN(B150:K150)</f>
        <v>0.1188133705486609</v>
      </c>
      <c r="G89" s="56">
        <f>F89-E89</f>
        <v>0.011706082480715335</v>
      </c>
    </row>
    <row r="90" spans="3:7" s="7" customFormat="1" ht="12.75">
      <c r="C90" s="37" t="s">
        <v>188</v>
      </c>
      <c r="D90" s="38"/>
      <c r="E90" s="55">
        <f>IF((E89*E92-((I74-I75)*(1-I76)+I75-I77))/(E92+(I74-I75)*(1-I76)+I75-I77)&gt;0.06,0.06,(E89*E92-((I74-I75)*(1-I76)+I75-I77))/(E92+(I74-I75)*(1-I76)+I75-I77))</f>
        <v>0.0019396768682859603</v>
      </c>
      <c r="F90" s="57"/>
      <c r="G90" s="56"/>
    </row>
    <row r="91" spans="3:7" s="7" customFormat="1" ht="15" customHeight="1">
      <c r="C91" s="37" t="s">
        <v>189</v>
      </c>
      <c r="D91" s="38"/>
      <c r="E91" s="61">
        <f>C74+C75</f>
        <v>779212</v>
      </c>
      <c r="F91" s="62">
        <f>E91+E91*(E89-F89)/F89</f>
        <v>702440.1695246801</v>
      </c>
      <c r="G91" s="63">
        <f>F91-E91</f>
        <v>-76771.83047531988</v>
      </c>
    </row>
    <row r="92" spans="3:7" s="7" customFormat="1" ht="12.75">
      <c r="C92" s="37" t="s">
        <v>190</v>
      </c>
      <c r="D92" s="38"/>
      <c r="E92" s="61">
        <f>C74+C75</f>
        <v>779212</v>
      </c>
      <c r="F92" s="61">
        <f>F91</f>
        <v>702440.1695246801</v>
      </c>
      <c r="G92" s="64">
        <f>F92-E92</f>
        <v>-76771.83047531988</v>
      </c>
    </row>
    <row r="93" spans="3:7" s="7" customFormat="1" ht="15" customHeight="1">
      <c r="C93" s="37" t="s">
        <v>191</v>
      </c>
      <c r="D93" s="38"/>
      <c r="E93" s="65">
        <f>(E92-C75)/C76</f>
        <v>36.25</v>
      </c>
      <c r="F93" s="65">
        <f>(F91-E91)/C76+E93</f>
        <v>31.250532008640278</v>
      </c>
      <c r="G93" s="66">
        <f>F93-E93</f>
        <v>-4.999467991359722</v>
      </c>
    </row>
    <row r="94" spans="3:7" s="7" customFormat="1" ht="13.5" thickBot="1">
      <c r="C94" s="44" t="s">
        <v>192</v>
      </c>
      <c r="D94" s="45"/>
      <c r="E94" s="67">
        <f>(E92-C75)/C76</f>
        <v>36.25</v>
      </c>
      <c r="F94" s="67">
        <f>(F92-E92)/C76+E94</f>
        <v>31.250532008640278</v>
      </c>
      <c r="G94" s="68">
        <f>F94-E94</f>
        <v>-4.999467991359722</v>
      </c>
    </row>
    <row r="95" s="7" customFormat="1" ht="13.5" thickTop="1"/>
    <row r="96" spans="1:11" s="13" customFormat="1" ht="13.5" thickBot="1">
      <c r="A96" s="13" t="s">
        <v>193</v>
      </c>
      <c r="H96" s="69" t="s">
        <v>194</v>
      </c>
      <c r="I96" s="70"/>
      <c r="J96" s="70"/>
      <c r="K96" s="71"/>
    </row>
    <row r="97" spans="3:11" s="7" customFormat="1" ht="13.5" thickTop="1">
      <c r="C97" s="72" t="s">
        <v>195</v>
      </c>
      <c r="D97" s="73" t="s">
        <v>196</v>
      </c>
      <c r="E97" s="74" t="s">
        <v>197</v>
      </c>
      <c r="F97" s="75" t="s">
        <v>198</v>
      </c>
      <c r="H97" s="76" t="s">
        <v>199</v>
      </c>
      <c r="I97" s="38"/>
      <c r="J97" s="38"/>
      <c r="K97" s="77">
        <f>(F113-J112)/I78</f>
        <v>3.7568710359408035</v>
      </c>
    </row>
    <row r="98" spans="3:11" s="7" customFormat="1" ht="12.75">
      <c r="C98" s="78" t="s">
        <v>148</v>
      </c>
      <c r="D98" s="79">
        <f>IF($D$45="No",A43,A63)</f>
        <v>9.65</v>
      </c>
      <c r="E98" s="79">
        <f>IF($D$45="No",B43,B63)</f>
        <v>100000</v>
      </c>
      <c r="F98" s="80">
        <f>IF($D$45="No",D43,D63)</f>
        <v>0.003</v>
      </c>
      <c r="H98" s="76" t="s">
        <v>200</v>
      </c>
      <c r="I98" s="38"/>
      <c r="J98" s="38"/>
      <c r="K98" s="19" t="str">
        <f>VLOOKUP(K97,D162:G175,3)</f>
        <v>A-</v>
      </c>
    </row>
    <row r="99" spans="3:11" s="7" customFormat="1" ht="12.75">
      <c r="C99" s="78" t="s">
        <v>147</v>
      </c>
      <c r="D99" s="81">
        <f>IF($D$45="No",A42,A62)</f>
        <v>6.85</v>
      </c>
      <c r="E99" s="81">
        <f>IF($D$45="No",B42,B62)</f>
        <v>9.349999</v>
      </c>
      <c r="F99" s="80">
        <f>IF($D$45="No",D42,D62)</f>
        <v>0.007</v>
      </c>
      <c r="H99" s="76" t="s">
        <v>201</v>
      </c>
      <c r="I99" s="38"/>
      <c r="J99" s="38"/>
      <c r="K99" s="19">
        <f>VLOOKUP(K97,D162:G175,4)</f>
        <v>0.06538</v>
      </c>
    </row>
    <row r="100" spans="3:11" s="7" customFormat="1" ht="12.75">
      <c r="C100" s="78" t="s">
        <v>146</v>
      </c>
      <c r="D100" s="82">
        <f>IF($D$45="No",A41,A61)</f>
        <v>5.65</v>
      </c>
      <c r="E100" s="82">
        <f>IF($D$45="No",B41,B61)</f>
        <v>6.849999</v>
      </c>
      <c r="F100" s="80">
        <f>IF($D$45="No",D41,D61)</f>
        <v>0.01</v>
      </c>
      <c r="H100" s="76" t="s">
        <v>202</v>
      </c>
      <c r="I100" s="38"/>
      <c r="J100" s="38"/>
      <c r="K100" s="21">
        <f>F75</f>
        <v>0</v>
      </c>
    </row>
    <row r="101" spans="3:11" s="7" customFormat="1" ht="12.75">
      <c r="C101" s="78" t="s">
        <v>145</v>
      </c>
      <c r="D101" s="82">
        <f>IF($D$45="No",A40,A60)</f>
        <v>4.49</v>
      </c>
      <c r="E101" s="82">
        <f>IF($D$45="No",B40,B60)</f>
        <v>5.649999</v>
      </c>
      <c r="F101" s="80">
        <f>IF($D$45="No",D40,D60)</f>
        <v>0.0125</v>
      </c>
      <c r="H101" s="83" t="s">
        <v>203</v>
      </c>
      <c r="I101" s="84"/>
      <c r="J101" s="84"/>
      <c r="K101" s="21">
        <f>F78</f>
        <v>0</v>
      </c>
    </row>
    <row r="102" spans="3:6" s="7" customFormat="1" ht="12.75">
      <c r="C102" s="78" t="s">
        <v>144</v>
      </c>
      <c r="D102" s="82">
        <f>IF($D$45="No",A39,A59)</f>
        <v>3.29</v>
      </c>
      <c r="E102" s="82">
        <f>IF($D$45="No",B39,B59)</f>
        <v>4.4899999</v>
      </c>
      <c r="F102" s="80">
        <f>IF($D$45="No",D39,D59)</f>
        <v>0.015</v>
      </c>
    </row>
    <row r="103" spans="3:6" s="7" customFormat="1" ht="12.75">
      <c r="C103" s="78" t="s">
        <v>143</v>
      </c>
      <c r="D103" s="82">
        <f>IF($D$45="No",A38,A58)</f>
        <v>2.76</v>
      </c>
      <c r="E103" s="82">
        <f>IF($D$45="No",B38,B58)</f>
        <v>3.2899999</v>
      </c>
      <c r="F103" s="80">
        <f>IF($D$45="No",D38,D58)</f>
        <v>0.02</v>
      </c>
    </row>
    <row r="104" spans="3:6" s="7" customFormat="1" ht="12.75">
      <c r="C104" s="78" t="s">
        <v>142</v>
      </c>
      <c r="D104" s="82">
        <f>IF($D$45="No",A37,A57)</f>
        <v>2.17</v>
      </c>
      <c r="E104" s="82">
        <f>IF($D$45="No",B37,B57)</f>
        <v>2.7599999</v>
      </c>
      <c r="F104" s="80">
        <f>IF($D$45="No",D37,D57)</f>
        <v>0.025</v>
      </c>
    </row>
    <row r="105" spans="3:6" s="7" customFormat="1" ht="12.75">
      <c r="C105" s="78" t="s">
        <v>141</v>
      </c>
      <c r="D105" s="82">
        <f>IF($D$45="No",A36,A56)</f>
        <v>1.87</v>
      </c>
      <c r="E105" s="82">
        <f>IF($D$45="No",B36,B56)</f>
        <v>2.1699999</v>
      </c>
      <c r="F105" s="80">
        <f>IF($D$45="No",D36,D56)</f>
        <v>0.03</v>
      </c>
    </row>
    <row r="106" spans="3:6" s="7" customFormat="1" ht="12.75">
      <c r="C106" s="78" t="s">
        <v>140</v>
      </c>
      <c r="D106" s="82">
        <f>IF($D$45="No",A35,A55)</f>
        <v>1.57</v>
      </c>
      <c r="E106" s="82">
        <f>IF($D$45="No",B35,B55)</f>
        <v>1.8699999</v>
      </c>
      <c r="F106" s="80">
        <f>IF($D$45="No",D35,D55)</f>
        <v>0.04</v>
      </c>
    </row>
    <row r="107" spans="3:6" s="7" customFormat="1" ht="12.75">
      <c r="C107" s="78" t="s">
        <v>139</v>
      </c>
      <c r="D107" s="82">
        <f>IF($D$45="No",A34,A54)</f>
        <v>1.27</v>
      </c>
      <c r="E107" s="82">
        <f>IF($D$45="No",B34,B54)</f>
        <v>1.5699999</v>
      </c>
      <c r="F107" s="80">
        <f>IF($D$45="No",D34,D54)</f>
        <v>0.05</v>
      </c>
    </row>
    <row r="108" spans="3:6" s="7" customFormat="1" ht="12.75">
      <c r="C108" s="78" t="s">
        <v>138</v>
      </c>
      <c r="D108" s="82">
        <f>IF($D$45="No",A33,A53)</f>
        <v>0.87</v>
      </c>
      <c r="E108" s="82">
        <f>IF($D$45="No",B33,B53)</f>
        <v>1.2699999</v>
      </c>
      <c r="F108" s="80">
        <f>IF($D$45="No",D33,D53)</f>
        <v>0.06</v>
      </c>
    </row>
    <row r="109" spans="3:6" s="7" customFormat="1" ht="12.75">
      <c r="C109" s="78" t="s">
        <v>137</v>
      </c>
      <c r="D109" s="82">
        <f>IF($D$45="No",A32,A52)</f>
        <v>0.67</v>
      </c>
      <c r="E109" s="82">
        <f>IF($D$45="No",B32,B52)</f>
        <v>0.8699999</v>
      </c>
      <c r="F109" s="80">
        <f>IF($D$45="No",D32,D52)</f>
        <v>0.075</v>
      </c>
    </row>
    <row r="110" spans="3:6" s="7" customFormat="1" ht="12.75">
      <c r="C110" s="78" t="s">
        <v>136</v>
      </c>
      <c r="D110" s="82">
        <f>IF($D$45="No",A31,A51)</f>
        <v>0.25</v>
      </c>
      <c r="E110" s="82">
        <f>IF($D$45="No",B31,B51)</f>
        <v>0.6699999</v>
      </c>
      <c r="F110" s="80">
        <f>IF($D$45="No",D31,D51)</f>
        <v>0.09</v>
      </c>
    </row>
    <row r="111" spans="3:6" s="7" customFormat="1" ht="13.5" thickBot="1">
      <c r="C111" s="85" t="s">
        <v>135</v>
      </c>
      <c r="D111" s="86">
        <f>IF($D$45="No",A30,A50)</f>
        <v>-100000</v>
      </c>
      <c r="E111" s="86">
        <f>IF($D$45="No",B30,B50)</f>
        <v>0.2499999</v>
      </c>
      <c r="F111" s="87">
        <f>IF($D$45="No",D30,D50)</f>
        <v>0.12</v>
      </c>
    </row>
    <row r="112" spans="1:11" s="7" customFormat="1" ht="13.5" thickTop="1">
      <c r="A112" s="38" t="s">
        <v>204</v>
      </c>
      <c r="B112" s="88">
        <f>F74</f>
        <v>1.81</v>
      </c>
      <c r="C112" s="41"/>
      <c r="D112" s="89" t="s">
        <v>205</v>
      </c>
      <c r="E112" s="41"/>
      <c r="F112" s="90">
        <f>C74</f>
        <v>556655</v>
      </c>
      <c r="G112" s="41"/>
      <c r="H112" s="41" t="s">
        <v>206</v>
      </c>
      <c r="I112" s="41"/>
      <c r="J112" s="90">
        <f>I75</f>
        <v>13665</v>
      </c>
      <c r="K112" s="27"/>
    </row>
    <row r="113" spans="1:11" s="7" customFormat="1" ht="12.75">
      <c r="A113" s="38" t="s">
        <v>207</v>
      </c>
      <c r="B113" s="90">
        <f>C75</f>
        <v>222557</v>
      </c>
      <c r="C113" s="41"/>
      <c r="D113" s="89" t="s">
        <v>208</v>
      </c>
      <c r="E113" s="41"/>
      <c r="F113" s="90">
        <f>I74</f>
        <v>59867</v>
      </c>
      <c r="G113" s="41"/>
      <c r="H113" s="41" t="s">
        <v>209</v>
      </c>
      <c r="I113" s="41"/>
      <c r="J113" s="91">
        <f>F78</f>
        <v>0</v>
      </c>
      <c r="K113" s="27"/>
    </row>
    <row r="114" spans="1:11" s="7" customFormat="1" ht="12.75">
      <c r="A114" s="38" t="s">
        <v>210</v>
      </c>
      <c r="B114" s="91">
        <f>I76</f>
        <v>0.39</v>
      </c>
      <c r="C114" s="41"/>
      <c r="D114" s="89" t="s">
        <v>211</v>
      </c>
      <c r="E114" s="41"/>
      <c r="F114" s="91">
        <f>F75</f>
        <v>0</v>
      </c>
      <c r="G114" s="41"/>
      <c r="H114" s="41" t="s">
        <v>212</v>
      </c>
      <c r="I114" s="41"/>
      <c r="J114" s="91">
        <f>F77</f>
        <v>0.05038</v>
      </c>
      <c r="K114" s="27"/>
    </row>
    <row r="115" spans="1:11" s="7" customFormat="1" ht="13.5" thickBot="1">
      <c r="A115" s="38"/>
      <c r="B115" s="41"/>
      <c r="C115" s="41"/>
      <c r="D115" s="89"/>
      <c r="E115" s="41"/>
      <c r="F115" s="41"/>
      <c r="G115" s="41"/>
      <c r="H115" s="41" t="s">
        <v>213</v>
      </c>
      <c r="I115" s="41"/>
      <c r="J115" s="91">
        <f>F76</f>
        <v>0.0436</v>
      </c>
      <c r="K115" s="27"/>
    </row>
    <row r="116" spans="1:11" s="7" customFormat="1" ht="12.75">
      <c r="A116" s="92"/>
      <c r="B116" s="93"/>
      <c r="C116" s="93"/>
      <c r="D116" s="93"/>
      <c r="E116" s="93"/>
      <c r="F116" s="94" t="s">
        <v>214</v>
      </c>
      <c r="G116" s="93"/>
      <c r="H116" s="93"/>
      <c r="I116" s="93"/>
      <c r="J116" s="93"/>
      <c r="K116" s="95"/>
    </row>
    <row r="117" spans="1:11" s="7" customFormat="1" ht="12.75">
      <c r="A117" s="96" t="s">
        <v>215</v>
      </c>
      <c r="B117" s="55">
        <v>0</v>
      </c>
      <c r="C117" s="55">
        <v>0.1</v>
      </c>
      <c r="D117" s="55">
        <v>0.2</v>
      </c>
      <c r="E117" s="55">
        <v>0.3</v>
      </c>
      <c r="F117" s="55">
        <v>0.4</v>
      </c>
      <c r="G117" s="55">
        <v>0.5</v>
      </c>
      <c r="H117" s="55">
        <v>0.6</v>
      </c>
      <c r="I117" s="55">
        <v>0.7</v>
      </c>
      <c r="J117" s="55">
        <v>0.8</v>
      </c>
      <c r="K117" s="97">
        <v>0.9</v>
      </c>
    </row>
    <row r="118" spans="1:11" s="7" customFormat="1" ht="12.75">
      <c r="A118" s="96" t="s">
        <v>216</v>
      </c>
      <c r="B118" s="55">
        <f aca="true" t="shared" si="0" ref="B118:K118">B117/(1-B117)</f>
        <v>0</v>
      </c>
      <c r="C118" s="55">
        <f t="shared" si="0"/>
        <v>0.11111111111111112</v>
      </c>
      <c r="D118" s="55">
        <f t="shared" si="0"/>
        <v>0.25</v>
      </c>
      <c r="E118" s="55">
        <f t="shared" si="0"/>
        <v>0.4285714285714286</v>
      </c>
      <c r="F118" s="55">
        <f t="shared" si="0"/>
        <v>0.6666666666666667</v>
      </c>
      <c r="G118" s="55">
        <f t="shared" si="0"/>
        <v>1</v>
      </c>
      <c r="H118" s="55">
        <f t="shared" si="0"/>
        <v>1.4999999999999998</v>
      </c>
      <c r="I118" s="55">
        <f t="shared" si="0"/>
        <v>2.333333333333333</v>
      </c>
      <c r="J118" s="55">
        <f t="shared" si="0"/>
        <v>4.000000000000001</v>
      </c>
      <c r="K118" s="97">
        <f t="shared" si="0"/>
        <v>9.000000000000002</v>
      </c>
    </row>
    <row r="119" spans="1:11" s="7" customFormat="1" ht="12.75">
      <c r="A119" s="96" t="s">
        <v>217</v>
      </c>
      <c r="B119" s="98">
        <v>0</v>
      </c>
      <c r="C119" s="98">
        <f>C117*(B113+F112)</f>
        <v>77921.2</v>
      </c>
      <c r="D119" s="98">
        <f>D117*(B113+F112)</f>
        <v>155842.4</v>
      </c>
      <c r="E119" s="98">
        <f>E117*(B113+F112)</f>
        <v>233763.6</v>
      </c>
      <c r="F119" s="98">
        <f>F117*(B113+F112)</f>
        <v>311684.8</v>
      </c>
      <c r="G119" s="98">
        <f>G117*(B113+F112)</f>
        <v>389606</v>
      </c>
      <c r="H119" s="98">
        <f>H117*(B113+F112)</f>
        <v>467527.2</v>
      </c>
      <c r="I119" s="98">
        <f>I117*(B113+F112)</f>
        <v>545448.4</v>
      </c>
      <c r="J119" s="98">
        <f>J117*(B113+F112)</f>
        <v>623369.6</v>
      </c>
      <c r="K119" s="99">
        <f>K117*(B113+F112)</f>
        <v>701290.8</v>
      </c>
    </row>
    <row r="120" spans="1:11" s="7" customFormat="1" ht="12.75">
      <c r="A120" s="96" t="s">
        <v>218</v>
      </c>
      <c r="B120" s="59">
        <f>B112/(1+(1-B114)*B113/F112)*(1+(1-B114)*B118)</f>
        <v>1.4551185122755255</v>
      </c>
      <c r="C120" s="59">
        <f aca="true" t="shared" si="1" ref="C120:K120">$B120*(1+(1-C139)*C118)</f>
        <v>1.5537432114408665</v>
      </c>
      <c r="D120" s="59">
        <f t="shared" si="1"/>
        <v>1.677024085397543</v>
      </c>
      <c r="E120" s="59">
        <f t="shared" si="1"/>
        <v>1.8355280661989846</v>
      </c>
      <c r="F120" s="59">
        <f t="shared" si="1"/>
        <v>2.0468667072675726</v>
      </c>
      <c r="G120" s="59">
        <f t="shared" si="1"/>
        <v>2.342740804763596</v>
      </c>
      <c r="H120" s="59">
        <f t="shared" si="1"/>
        <v>2.87568614856877</v>
      </c>
      <c r="I120" s="59">
        <f t="shared" si="1"/>
        <v>3.9558162523459672</v>
      </c>
      <c r="J120" s="59">
        <f t="shared" si="1"/>
        <v>6.077106788711859</v>
      </c>
      <c r="K120" s="100">
        <f t="shared" si="1"/>
        <v>12.154213577423718</v>
      </c>
    </row>
    <row r="121" spans="1:11" s="7" customFormat="1" ht="12.75">
      <c r="A121" s="96" t="s">
        <v>219</v>
      </c>
      <c r="B121" s="55">
        <f aca="true" t="shared" si="2" ref="B121:K121">$C$77+B120*$C$78</f>
        <v>0.1304115181751539</v>
      </c>
      <c r="C121" s="55">
        <f t="shared" si="2"/>
        <v>0.13583587662924765</v>
      </c>
      <c r="D121" s="55">
        <f t="shared" si="2"/>
        <v>0.14261632469686486</v>
      </c>
      <c r="E121" s="55">
        <f t="shared" si="2"/>
        <v>0.15133404364094416</v>
      </c>
      <c r="F121" s="55">
        <f t="shared" si="2"/>
        <v>0.1629576688997165</v>
      </c>
      <c r="G121" s="55">
        <f t="shared" si="2"/>
        <v>0.17923074426199778</v>
      </c>
      <c r="H121" s="55">
        <f t="shared" si="2"/>
        <v>0.20854273817128235</v>
      </c>
      <c r="I121" s="55">
        <f t="shared" si="2"/>
        <v>0.2679498938790282</v>
      </c>
      <c r="J121" s="55">
        <f t="shared" si="2"/>
        <v>0.38462087337915224</v>
      </c>
      <c r="K121" s="55">
        <f t="shared" si="2"/>
        <v>0.7188617467583045</v>
      </c>
    </row>
    <row r="122" spans="1:11" s="7" customFormat="1" ht="12.75">
      <c r="A122" s="96"/>
      <c r="B122" s="55"/>
      <c r="C122" s="55"/>
      <c r="D122" s="55"/>
      <c r="E122" s="55"/>
      <c r="F122" s="55"/>
      <c r="G122" s="55"/>
      <c r="H122" s="55"/>
      <c r="I122" s="55"/>
      <c r="J122" s="55"/>
      <c r="K122" s="55"/>
    </row>
    <row r="123" spans="1:11" s="7" customFormat="1" ht="12.75">
      <c r="A123" s="96" t="s">
        <v>220</v>
      </c>
      <c r="B123" s="57">
        <f>VLOOKUP(C133,$D$162:$H$175,5)</f>
        <v>0</v>
      </c>
      <c r="C123" s="101">
        <f aca="true" t="shared" si="3" ref="C123:K123">VLOOKUP(D133,$D$162:$H$175,5)</f>
        <v>0</v>
      </c>
      <c r="D123" s="101">
        <f t="shared" si="3"/>
        <v>0</v>
      </c>
      <c r="E123" s="101">
        <f>VLOOKUP(F133,$D$162:$H$175,5)</f>
        <v>0</v>
      </c>
      <c r="F123" s="101">
        <f t="shared" si="3"/>
        <v>0</v>
      </c>
      <c r="G123" s="101">
        <f t="shared" si="3"/>
        <v>0</v>
      </c>
      <c r="H123" s="101">
        <f t="shared" si="3"/>
        <v>0</v>
      </c>
      <c r="I123" s="101">
        <f t="shared" si="3"/>
        <v>0</v>
      </c>
      <c r="J123" s="101">
        <f t="shared" si="3"/>
        <v>0</v>
      </c>
      <c r="K123" s="101">
        <f t="shared" si="3"/>
        <v>0</v>
      </c>
    </row>
    <row r="124" spans="1:11" s="7" customFormat="1" ht="12.75">
      <c r="A124" s="96" t="s">
        <v>221</v>
      </c>
      <c r="B124" s="98">
        <f>$D$195</f>
        <v>59867</v>
      </c>
      <c r="C124" s="98">
        <f>B124*(1+C123)</f>
        <v>59867</v>
      </c>
      <c r="D124" s="98">
        <f>$B$124*(1+D123)</f>
        <v>59867</v>
      </c>
      <c r="E124" s="98">
        <f aca="true" t="shared" si="4" ref="E124:K124">$B$124*(1+E123)</f>
        <v>59867</v>
      </c>
      <c r="F124" s="98">
        <f t="shared" si="4"/>
        <v>59867</v>
      </c>
      <c r="G124" s="98">
        <f t="shared" si="4"/>
        <v>59867</v>
      </c>
      <c r="H124" s="98">
        <f t="shared" si="4"/>
        <v>59867</v>
      </c>
      <c r="I124" s="98">
        <f t="shared" si="4"/>
        <v>59867</v>
      </c>
      <c r="J124" s="98">
        <f t="shared" si="4"/>
        <v>59867</v>
      </c>
      <c r="K124" s="98">
        <f t="shared" si="4"/>
        <v>59867</v>
      </c>
    </row>
    <row r="125" spans="1:11" s="7" customFormat="1" ht="12.75">
      <c r="A125" s="96" t="s">
        <v>222</v>
      </c>
      <c r="B125" s="98">
        <f>J112</f>
        <v>13665</v>
      </c>
      <c r="C125" s="98">
        <f aca="true" t="shared" si="5" ref="C125:K125">B125</f>
        <v>13665</v>
      </c>
      <c r="D125" s="98">
        <f t="shared" si="5"/>
        <v>13665</v>
      </c>
      <c r="E125" s="98">
        <f t="shared" si="5"/>
        <v>13665</v>
      </c>
      <c r="F125" s="98">
        <f>E125</f>
        <v>13665</v>
      </c>
      <c r="G125" s="98">
        <f t="shared" si="5"/>
        <v>13665</v>
      </c>
      <c r="H125" s="98">
        <f t="shared" si="5"/>
        <v>13665</v>
      </c>
      <c r="I125" s="98">
        <f t="shared" si="5"/>
        <v>13665</v>
      </c>
      <c r="J125" s="98">
        <f t="shared" si="5"/>
        <v>13665</v>
      </c>
      <c r="K125" s="99">
        <f t="shared" si="5"/>
        <v>13665</v>
      </c>
    </row>
    <row r="126" spans="1:11" s="7" customFormat="1" ht="12.75">
      <c r="A126" s="96" t="s">
        <v>223</v>
      </c>
      <c r="B126" s="98">
        <f aca="true" t="shared" si="6" ref="B126:K126">IF($G$67="Yes",B138*B119,(IF(B117&lt;$E$82,($E$8/$E$16)*B119,$E$8+B138*(B119-$C$75))))</f>
        <v>0</v>
      </c>
      <c r="C126" s="98">
        <f t="shared" si="6"/>
        <v>4159.433656</v>
      </c>
      <c r="D126" s="98">
        <f t="shared" si="6"/>
        <v>9799.370112</v>
      </c>
      <c r="E126" s="98">
        <f t="shared" si="6"/>
        <v>16452.282168</v>
      </c>
      <c r="F126" s="98">
        <f t="shared" si="6"/>
        <v>28170.072224</v>
      </c>
      <c r="G126" s="98">
        <f t="shared" si="6"/>
        <v>43004.71028</v>
      </c>
      <c r="H126" s="98">
        <f t="shared" si="6"/>
        <v>51605.65233600001</v>
      </c>
      <c r="I126" s="98">
        <f t="shared" si="6"/>
        <v>68388.320392</v>
      </c>
      <c r="J126" s="98">
        <f t="shared" si="6"/>
        <v>87508.624448</v>
      </c>
      <c r="K126" s="98">
        <f t="shared" si="6"/>
        <v>98447.20250400002</v>
      </c>
    </row>
    <row r="127" spans="1:11" s="7" customFormat="1" ht="12.75">
      <c r="A127" s="96" t="s">
        <v>224</v>
      </c>
      <c r="B127" s="98">
        <f aca="true" t="shared" si="7" ref="B127:K127">B124-B125-B126</f>
        <v>46202</v>
      </c>
      <c r="C127" s="98">
        <f t="shared" si="7"/>
        <v>42042.566344</v>
      </c>
      <c r="D127" s="98">
        <f t="shared" si="7"/>
        <v>36402.629887999996</v>
      </c>
      <c r="E127" s="98">
        <f t="shared" si="7"/>
        <v>29749.717832</v>
      </c>
      <c r="F127" s="98">
        <f t="shared" si="7"/>
        <v>18031.927776</v>
      </c>
      <c r="G127" s="98">
        <f t="shared" si="7"/>
        <v>3197.2897200000007</v>
      </c>
      <c r="H127" s="98">
        <f t="shared" si="7"/>
        <v>-5403.6523360000065</v>
      </c>
      <c r="I127" s="98">
        <f t="shared" si="7"/>
        <v>-22186.320391999994</v>
      </c>
      <c r="J127" s="98">
        <f t="shared" si="7"/>
        <v>-41306.624448</v>
      </c>
      <c r="K127" s="99">
        <f t="shared" si="7"/>
        <v>-52245.202504000015</v>
      </c>
    </row>
    <row r="128" spans="1:11" s="7" customFormat="1" ht="12.75">
      <c r="A128" s="96" t="s">
        <v>225</v>
      </c>
      <c r="B128" s="98">
        <f>B114*B127</f>
        <v>18018.78</v>
      </c>
      <c r="C128" s="98">
        <f>B114*C127</f>
        <v>16396.60087416</v>
      </c>
      <c r="D128" s="98">
        <f>B114*D127</f>
        <v>14197.025656319998</v>
      </c>
      <c r="E128" s="98">
        <f>B114*E127</f>
        <v>11602.38995448</v>
      </c>
      <c r="F128" s="98">
        <f>B114*F127</f>
        <v>7032.45183264</v>
      </c>
      <c r="G128" s="98">
        <f>B114*G127</f>
        <v>1246.9429908000004</v>
      </c>
      <c r="H128" s="98">
        <f>B114*H127</f>
        <v>-2107.4244110400027</v>
      </c>
      <c r="I128" s="98">
        <f>B114*I127</f>
        <v>-8652.664952879997</v>
      </c>
      <c r="J128" s="98">
        <f>B114*J127</f>
        <v>-16109.58353472</v>
      </c>
      <c r="K128" s="99">
        <f>B114*K127</f>
        <v>-20375.628976560005</v>
      </c>
    </row>
    <row r="129" spans="1:11" s="7" customFormat="1" ht="12.75">
      <c r="A129" s="96" t="s">
        <v>226</v>
      </c>
      <c r="B129" s="98">
        <f aca="true" t="shared" si="8" ref="B129:K129">B127-B128</f>
        <v>28183.22</v>
      </c>
      <c r="C129" s="98">
        <f t="shared" si="8"/>
        <v>25645.965469839997</v>
      </c>
      <c r="D129" s="98">
        <f t="shared" si="8"/>
        <v>22205.604231679998</v>
      </c>
      <c r="E129" s="98">
        <f t="shared" si="8"/>
        <v>18147.327877519998</v>
      </c>
      <c r="F129" s="98">
        <f t="shared" si="8"/>
        <v>10999.475943360001</v>
      </c>
      <c r="G129" s="98">
        <f t="shared" si="8"/>
        <v>1950.3467292000003</v>
      </c>
      <c r="H129" s="98">
        <f t="shared" si="8"/>
        <v>-3296.2279249600037</v>
      </c>
      <c r="I129" s="98">
        <f t="shared" si="8"/>
        <v>-13533.655439119997</v>
      </c>
      <c r="J129" s="98">
        <f t="shared" si="8"/>
        <v>-25197.04091328</v>
      </c>
      <c r="K129" s="99">
        <f t="shared" si="8"/>
        <v>-31869.57352744001</v>
      </c>
    </row>
    <row r="130" spans="1:11" s="7" customFormat="1" ht="12.75">
      <c r="A130" s="96" t="s">
        <v>227</v>
      </c>
      <c r="B130" s="98">
        <f aca="true" t="shared" si="9" ref="B130:K130">B125</f>
        <v>13665</v>
      </c>
      <c r="C130" s="98">
        <f t="shared" si="9"/>
        <v>13665</v>
      </c>
      <c r="D130" s="98">
        <f t="shared" si="9"/>
        <v>13665</v>
      </c>
      <c r="E130" s="98">
        <f t="shared" si="9"/>
        <v>13665</v>
      </c>
      <c r="F130" s="98">
        <f t="shared" si="9"/>
        <v>13665</v>
      </c>
      <c r="G130" s="98">
        <f t="shared" si="9"/>
        <v>13665</v>
      </c>
      <c r="H130" s="98">
        <f t="shared" si="9"/>
        <v>13665</v>
      </c>
      <c r="I130" s="98">
        <f t="shared" si="9"/>
        <v>13665</v>
      </c>
      <c r="J130" s="98">
        <f t="shared" si="9"/>
        <v>13665</v>
      </c>
      <c r="K130" s="99">
        <f t="shared" si="9"/>
        <v>13665</v>
      </c>
    </row>
    <row r="131" spans="1:11" s="7" customFormat="1" ht="12.75">
      <c r="A131" s="96" t="s">
        <v>228</v>
      </c>
      <c r="B131" s="98">
        <f aca="true" t="shared" si="10" ref="B131:K131">B129+B130</f>
        <v>41848.22</v>
      </c>
      <c r="C131" s="98">
        <f t="shared" si="10"/>
        <v>39310.96546984</v>
      </c>
      <c r="D131" s="98">
        <f t="shared" si="10"/>
        <v>35870.60423168</v>
      </c>
      <c r="E131" s="98">
        <f t="shared" si="10"/>
        <v>31812.327877519998</v>
      </c>
      <c r="F131" s="98">
        <f t="shared" si="10"/>
        <v>24664.47594336</v>
      </c>
      <c r="G131" s="98">
        <f t="shared" si="10"/>
        <v>15615.3467292</v>
      </c>
      <c r="H131" s="98">
        <f t="shared" si="10"/>
        <v>10368.772075039997</v>
      </c>
      <c r="I131" s="98">
        <f t="shared" si="10"/>
        <v>131.34456088000297</v>
      </c>
      <c r="J131" s="98">
        <f t="shared" si="10"/>
        <v>-11532.040913280001</v>
      </c>
      <c r="K131" s="99">
        <f t="shared" si="10"/>
        <v>-18204.57352744001</v>
      </c>
    </row>
    <row r="132" spans="1:11" s="7" customFormat="1" ht="12.75">
      <c r="A132" s="96"/>
      <c r="B132" s="57"/>
      <c r="C132" s="57"/>
      <c r="D132" s="57"/>
      <c r="E132" s="57"/>
      <c r="F132" s="57"/>
      <c r="G132" s="57"/>
      <c r="H132" s="57"/>
      <c r="I132" s="57"/>
      <c r="J132" s="57"/>
      <c r="K132" s="102"/>
    </row>
    <row r="133" spans="1:11" s="7" customFormat="1" ht="12.75">
      <c r="A133" s="96" t="s">
        <v>229</v>
      </c>
      <c r="B133" s="57" t="s">
        <v>230</v>
      </c>
      <c r="C133" s="59">
        <f aca="true" t="shared" si="11" ref="C133:K133">C127/C126+1</f>
        <v>11.107762215020168</v>
      </c>
      <c r="D133" s="59">
        <f t="shared" si="11"/>
        <v>4.714792835860182</v>
      </c>
      <c r="E133" s="59">
        <f t="shared" si="11"/>
        <v>2.8082426211886737</v>
      </c>
      <c r="F133" s="59">
        <f t="shared" si="11"/>
        <v>1.6401093910095614</v>
      </c>
      <c r="G133" s="59">
        <f t="shared" si="11"/>
        <v>1.0743474307624146</v>
      </c>
      <c r="H133" s="59">
        <f t="shared" si="11"/>
        <v>0.8952895256353454</v>
      </c>
      <c r="I133" s="59">
        <f t="shared" si="11"/>
        <v>0.6755831951299782</v>
      </c>
      <c r="J133" s="59">
        <f t="shared" si="11"/>
        <v>0.5279708176358604</v>
      </c>
      <c r="K133" s="100">
        <f t="shared" si="11"/>
        <v>0.469307393454098</v>
      </c>
    </row>
    <row r="134" spans="1:11" s="7" customFormat="1" ht="12.75">
      <c r="A134" s="96" t="s">
        <v>231</v>
      </c>
      <c r="B134" s="57" t="s">
        <v>230</v>
      </c>
      <c r="C134" s="59">
        <f aca="true" t="shared" si="12" ref="C134:K134">C131/C126</f>
        <v>9.451037982811378</v>
      </c>
      <c r="D134" s="59">
        <f t="shared" si="12"/>
        <v>3.660501014014563</v>
      </c>
      <c r="E134" s="59">
        <f t="shared" si="12"/>
        <v>1.933611857168094</v>
      </c>
      <c r="F134" s="59">
        <f t="shared" si="12"/>
        <v>0.8755560066454731</v>
      </c>
      <c r="G134" s="59">
        <f t="shared" si="12"/>
        <v>0.36310782301589317</v>
      </c>
      <c r="H134" s="59">
        <f t="shared" si="12"/>
        <v>0.20092318584657753</v>
      </c>
      <c r="I134" s="59">
        <f t="shared" si="12"/>
        <v>0.0019205700641153273</v>
      </c>
      <c r="J134" s="59">
        <f t="shared" si="12"/>
        <v>-0.1317817642092255</v>
      </c>
      <c r="K134" s="100">
        <f t="shared" si="12"/>
        <v>-0.18491712374153382</v>
      </c>
    </row>
    <row r="135" spans="1:11" s="7" customFormat="1" ht="12.75">
      <c r="A135" s="96" t="s">
        <v>232</v>
      </c>
      <c r="B135" s="57" t="s">
        <v>230</v>
      </c>
      <c r="C135" s="59">
        <f aca="true" t="shared" si="13" ref="C135:K135">C131/C119</f>
        <v>0.5044964075224714</v>
      </c>
      <c r="D135" s="59">
        <f t="shared" si="13"/>
        <v>0.23017230376123574</v>
      </c>
      <c r="E135" s="59">
        <f t="shared" si="13"/>
        <v>0.13608760250749047</v>
      </c>
      <c r="F135" s="59">
        <f t="shared" si="13"/>
        <v>0.07913275188061786</v>
      </c>
      <c r="G135" s="59">
        <f t="shared" si="13"/>
        <v>0.040079841504494285</v>
      </c>
      <c r="H135" s="59">
        <f t="shared" si="13"/>
        <v>0.02217790125374523</v>
      </c>
      <c r="I135" s="59">
        <f t="shared" si="13"/>
        <v>0.0002408010746387797</v>
      </c>
      <c r="J135" s="59">
        <f t="shared" si="13"/>
        <v>-0.018499524059691075</v>
      </c>
      <c r="K135" s="100">
        <f t="shared" si="13"/>
        <v>-0.025958665830836523</v>
      </c>
    </row>
    <row r="136" spans="1:11" s="7" customFormat="1" ht="12.75">
      <c r="A136" s="96"/>
      <c r="B136" s="57"/>
      <c r="C136" s="57"/>
      <c r="D136" s="57"/>
      <c r="E136" s="57"/>
      <c r="F136" s="57"/>
      <c r="G136" s="57"/>
      <c r="H136" s="57"/>
      <c r="I136" s="57"/>
      <c r="J136" s="57"/>
      <c r="K136" s="102"/>
    </row>
    <row r="137" spans="1:11" s="7" customFormat="1" ht="12.75">
      <c r="A137" s="96" t="s">
        <v>233</v>
      </c>
      <c r="B137" s="57" t="str">
        <f>VLOOKUP(C133,D162:G175,3)</f>
        <v>AAA</v>
      </c>
      <c r="C137" s="57" t="str">
        <f>VLOOKUP(C133,D162:G175,3)</f>
        <v>AAA</v>
      </c>
      <c r="D137" s="57" t="str">
        <f>VLOOKUP(D133,D162:G175,3)</f>
        <v>A</v>
      </c>
      <c r="E137" s="57" t="str">
        <f>VLOOKUP(E133,D162:G175,3)</f>
        <v>BBB</v>
      </c>
      <c r="F137" s="57" t="str">
        <f>VLOOKUP(F133,D162:G175,3)</f>
        <v>B</v>
      </c>
      <c r="G137" s="57" t="str">
        <f>VLOOKUP(G133,D162:G175,3)</f>
        <v>CCC</v>
      </c>
      <c r="H137" s="57" t="str">
        <f>VLOOKUP(H133,D162:G175,3)</f>
        <v>CCC</v>
      </c>
      <c r="I137" s="57" t="str">
        <f>VLOOKUP(I133,D162:G175,3)</f>
        <v>CC</v>
      </c>
      <c r="J137" s="57" t="str">
        <f>VLOOKUP(J133,D162:G175,3)</f>
        <v>C</v>
      </c>
      <c r="K137" s="102" t="str">
        <f>VLOOKUP(K133,D162:G175,3)</f>
        <v>C</v>
      </c>
    </row>
    <row r="138" spans="1:11" s="7" customFormat="1" ht="12.75">
      <c r="A138" s="96" t="s">
        <v>234</v>
      </c>
      <c r="B138" s="55">
        <f>VLOOKUP(C133,D162:G175,4)</f>
        <v>0.053380000000000004</v>
      </c>
      <c r="C138" s="55">
        <f>VLOOKUP(C133,D162:G175,4)</f>
        <v>0.053380000000000004</v>
      </c>
      <c r="D138" s="55">
        <f>VLOOKUP(D133,D162:G175,4)</f>
        <v>0.06288</v>
      </c>
      <c r="E138" s="55">
        <f>VLOOKUP(E133,D162:G175,4)</f>
        <v>0.07038</v>
      </c>
      <c r="F138" s="55">
        <f>VLOOKUP(F133,D162:G175,4)</f>
        <v>0.09038</v>
      </c>
      <c r="G138" s="55">
        <f>VLOOKUP(G133,D162:G175,4)</f>
        <v>0.11038</v>
      </c>
      <c r="H138" s="55">
        <f>VLOOKUP(H133,D162:G175,4)</f>
        <v>0.11038</v>
      </c>
      <c r="I138" s="55">
        <f>VLOOKUP(I133,D162:G175,4)</f>
        <v>0.12538</v>
      </c>
      <c r="J138" s="55">
        <f>VLOOKUP(J133,D162:G175,4)</f>
        <v>0.14038</v>
      </c>
      <c r="K138" s="97">
        <f>VLOOKUP(K133,D162:G175,4)</f>
        <v>0.14038</v>
      </c>
    </row>
    <row r="139" spans="1:11" s="7" customFormat="1" ht="13.5" thickBot="1">
      <c r="A139" s="103" t="s">
        <v>235</v>
      </c>
      <c r="B139" s="104">
        <f>B114</f>
        <v>0.39</v>
      </c>
      <c r="C139" s="104">
        <f aca="true" t="shared" si="14" ref="C139:K139">$B114*MIN(1,(C127+C126)/C126)</f>
        <v>0.39</v>
      </c>
      <c r="D139" s="104">
        <f t="shared" si="14"/>
        <v>0.39</v>
      </c>
      <c r="E139" s="104">
        <f t="shared" si="14"/>
        <v>0.39</v>
      </c>
      <c r="F139" s="104">
        <f t="shared" si="14"/>
        <v>0.39</v>
      </c>
      <c r="G139" s="104">
        <f t="shared" si="14"/>
        <v>0.39</v>
      </c>
      <c r="H139" s="104">
        <f t="shared" si="14"/>
        <v>0.3491629149977847</v>
      </c>
      <c r="I139" s="104">
        <f t="shared" si="14"/>
        <v>0.2634774461006915</v>
      </c>
      <c r="J139" s="104">
        <f t="shared" si="14"/>
        <v>0.20590861887798556</v>
      </c>
      <c r="K139" s="105">
        <f t="shared" si="14"/>
        <v>0.18302988344709825</v>
      </c>
    </row>
    <row r="140" spans="1:11" s="38" customFormat="1" ht="15" customHeight="1" thickBot="1">
      <c r="A140" s="106"/>
      <c r="B140" s="14"/>
      <c r="C140" s="14"/>
      <c r="D140" s="14"/>
      <c r="E140" s="14"/>
      <c r="F140" s="14"/>
      <c r="G140" s="14"/>
      <c r="H140" s="14"/>
      <c r="I140" s="14"/>
      <c r="J140" s="14"/>
      <c r="K140" s="14"/>
    </row>
    <row r="141" spans="1:11" s="7" customFormat="1" ht="12.75">
      <c r="A141" s="107"/>
      <c r="B141" s="108"/>
      <c r="C141" s="108"/>
      <c r="D141" s="108"/>
      <c r="E141" s="109"/>
      <c r="F141" s="110" t="s">
        <v>236</v>
      </c>
      <c r="G141" s="108"/>
      <c r="H141" s="108"/>
      <c r="I141" s="108"/>
      <c r="J141" s="108"/>
      <c r="K141" s="111"/>
    </row>
    <row r="142" spans="1:11" s="7" customFormat="1" ht="12.75">
      <c r="A142" s="96" t="s">
        <v>215</v>
      </c>
      <c r="B142" s="55">
        <v>0</v>
      </c>
      <c r="C142" s="55">
        <v>0.1</v>
      </c>
      <c r="D142" s="55">
        <v>0.2</v>
      </c>
      <c r="E142" s="55">
        <v>0.3</v>
      </c>
      <c r="F142" s="55">
        <v>0.4</v>
      </c>
      <c r="G142" s="55">
        <v>0.5</v>
      </c>
      <c r="H142" s="55">
        <v>0.6</v>
      </c>
      <c r="I142" s="55">
        <v>0.7</v>
      </c>
      <c r="J142" s="55">
        <v>0.8</v>
      </c>
      <c r="K142" s="97">
        <v>0.9</v>
      </c>
    </row>
    <row r="143" spans="1:11" s="7" customFormat="1" ht="12.75">
      <c r="A143" s="96" t="s">
        <v>216</v>
      </c>
      <c r="B143" s="55">
        <f aca="true" t="shared" si="15" ref="B143:K143">B142/(1-B142)</f>
        <v>0</v>
      </c>
      <c r="C143" s="55">
        <f t="shared" si="15"/>
        <v>0.11111111111111112</v>
      </c>
      <c r="D143" s="55">
        <f t="shared" si="15"/>
        <v>0.25</v>
      </c>
      <c r="E143" s="55">
        <f t="shared" si="15"/>
        <v>0.4285714285714286</v>
      </c>
      <c r="F143" s="55">
        <f t="shared" si="15"/>
        <v>0.6666666666666667</v>
      </c>
      <c r="G143" s="55">
        <f t="shared" si="15"/>
        <v>1</v>
      </c>
      <c r="H143" s="55">
        <f t="shared" si="15"/>
        <v>1.4999999999999998</v>
      </c>
      <c r="I143" s="55">
        <f t="shared" si="15"/>
        <v>2.333333333333333</v>
      </c>
      <c r="J143" s="55">
        <f t="shared" si="15"/>
        <v>4.000000000000001</v>
      </c>
      <c r="K143" s="97">
        <f t="shared" si="15"/>
        <v>9.000000000000002</v>
      </c>
    </row>
    <row r="144" spans="1:11" s="7" customFormat="1" ht="12.75">
      <c r="A144" s="96" t="s">
        <v>217</v>
      </c>
      <c r="B144" s="98">
        <f aca="true" t="shared" si="16" ref="B144:K144">B119</f>
        <v>0</v>
      </c>
      <c r="C144" s="98">
        <f t="shared" si="16"/>
        <v>77921.2</v>
      </c>
      <c r="D144" s="98">
        <f t="shared" si="16"/>
        <v>155842.4</v>
      </c>
      <c r="E144" s="98">
        <f t="shared" si="16"/>
        <v>233763.6</v>
      </c>
      <c r="F144" s="98">
        <f t="shared" si="16"/>
        <v>311684.8</v>
      </c>
      <c r="G144" s="98">
        <f t="shared" si="16"/>
        <v>389606</v>
      </c>
      <c r="H144" s="98">
        <f t="shared" si="16"/>
        <v>467527.2</v>
      </c>
      <c r="I144" s="98">
        <f t="shared" si="16"/>
        <v>545448.4</v>
      </c>
      <c r="J144" s="98">
        <f t="shared" si="16"/>
        <v>623369.6</v>
      </c>
      <c r="K144" s="99">
        <f t="shared" si="16"/>
        <v>701290.8</v>
      </c>
    </row>
    <row r="145" spans="1:11" s="7" customFormat="1" ht="12.75">
      <c r="A145" s="96"/>
      <c r="B145" s="57"/>
      <c r="C145" s="57"/>
      <c r="D145" s="57"/>
      <c r="E145" s="57"/>
      <c r="F145" s="57"/>
      <c r="G145" s="57"/>
      <c r="H145" s="57"/>
      <c r="I145" s="57"/>
      <c r="J145" s="57"/>
      <c r="K145" s="102"/>
    </row>
    <row r="146" spans="1:11" s="7" customFormat="1" ht="12.75">
      <c r="A146" s="96" t="s">
        <v>237</v>
      </c>
      <c r="B146" s="55">
        <f aca="true" t="shared" si="17" ref="B146:K146">B121</f>
        <v>0.1304115181751539</v>
      </c>
      <c r="C146" s="55">
        <f t="shared" si="17"/>
        <v>0.13583587662924765</v>
      </c>
      <c r="D146" s="55">
        <f t="shared" si="17"/>
        <v>0.14261632469686486</v>
      </c>
      <c r="E146" s="55">
        <f t="shared" si="17"/>
        <v>0.15133404364094416</v>
      </c>
      <c r="F146" s="55">
        <f t="shared" si="17"/>
        <v>0.1629576688997165</v>
      </c>
      <c r="G146" s="55">
        <f t="shared" si="17"/>
        <v>0.17923074426199778</v>
      </c>
      <c r="H146" s="55">
        <f t="shared" si="17"/>
        <v>0.20854273817128235</v>
      </c>
      <c r="I146" s="55">
        <f t="shared" si="17"/>
        <v>0.2679498938790282</v>
      </c>
      <c r="J146" s="55">
        <f t="shared" si="17"/>
        <v>0.38462087337915224</v>
      </c>
      <c r="K146" s="97">
        <f t="shared" si="17"/>
        <v>0.7188617467583045</v>
      </c>
    </row>
    <row r="147" spans="1:11" s="7" customFormat="1" ht="12.75">
      <c r="A147" s="112"/>
      <c r="B147" s="57"/>
      <c r="C147" s="57"/>
      <c r="D147" s="57"/>
      <c r="E147" s="57"/>
      <c r="F147" s="57"/>
      <c r="G147" s="57"/>
      <c r="H147" s="57"/>
      <c r="I147" s="57"/>
      <c r="J147" s="57"/>
      <c r="K147" s="102"/>
    </row>
    <row r="148" spans="1:11" s="7" customFormat="1" ht="13.5" thickBot="1">
      <c r="A148" s="103" t="s">
        <v>238</v>
      </c>
      <c r="B148" s="104">
        <f aca="true" t="shared" si="18" ref="B148:K148">B138*(1-B139)</f>
        <v>0.0325618</v>
      </c>
      <c r="C148" s="104">
        <f t="shared" si="18"/>
        <v>0.0325618</v>
      </c>
      <c r="D148" s="104">
        <f t="shared" si="18"/>
        <v>0.0383568</v>
      </c>
      <c r="E148" s="104">
        <f t="shared" si="18"/>
        <v>0.0429318</v>
      </c>
      <c r="F148" s="104">
        <f t="shared" si="18"/>
        <v>0.0551318</v>
      </c>
      <c r="G148" s="104">
        <f t="shared" si="18"/>
        <v>0.0673318</v>
      </c>
      <c r="H148" s="104">
        <f t="shared" si="18"/>
        <v>0.07183939744254454</v>
      </c>
      <c r="I148" s="104">
        <f t="shared" si="18"/>
        <v>0.0923451978078953</v>
      </c>
      <c r="J148" s="104">
        <f t="shared" si="18"/>
        <v>0.1114745480819084</v>
      </c>
      <c r="K148" s="105">
        <f t="shared" si="18"/>
        <v>0.11468626496169636</v>
      </c>
    </row>
    <row r="149" spans="1:11" s="7" customFormat="1" ht="13.5" thickBot="1">
      <c r="A149" s="106"/>
      <c r="B149" s="57"/>
      <c r="C149" s="57"/>
      <c r="D149" s="57"/>
      <c r="E149" s="57"/>
      <c r="F149" s="57"/>
      <c r="G149" s="57"/>
      <c r="H149" s="57"/>
      <c r="I149" s="57"/>
      <c r="J149" s="57"/>
      <c r="K149" s="57"/>
    </row>
    <row r="150" spans="1:11" s="7" customFormat="1" ht="12.75" customHeight="1" thickTop="1">
      <c r="A150" s="113" t="s">
        <v>187</v>
      </c>
      <c r="B150" s="114">
        <f aca="true" t="shared" si="19" ref="B150:K150">B146*(1-B142)+B148*B142</f>
        <v>0.1304115181751539</v>
      </c>
      <c r="C150" s="114">
        <f t="shared" si="19"/>
        <v>0.1255084689663229</v>
      </c>
      <c r="D150" s="114">
        <f t="shared" si="19"/>
        <v>0.1217644197574919</v>
      </c>
      <c r="E150" s="114">
        <f t="shared" si="19"/>
        <v>0.1188133705486609</v>
      </c>
      <c r="F150" s="114">
        <f t="shared" si="19"/>
        <v>0.11982732133982989</v>
      </c>
      <c r="G150" s="114">
        <f t="shared" si="19"/>
        <v>0.12328127213099889</v>
      </c>
      <c r="H150" s="114">
        <f t="shared" si="19"/>
        <v>0.12652073373403966</v>
      </c>
      <c r="I150" s="114">
        <f t="shared" si="19"/>
        <v>0.14502660662923517</v>
      </c>
      <c r="J150" s="114">
        <f t="shared" si="19"/>
        <v>0.16610381314135717</v>
      </c>
      <c r="K150" s="115">
        <f t="shared" si="19"/>
        <v>0.17510381314135715</v>
      </c>
    </row>
    <row r="151" spans="1:11" s="7" customFormat="1" ht="12.75" customHeight="1">
      <c r="A151" s="116"/>
      <c r="B151" s="57">
        <f aca="true" t="shared" si="20" ref="B151:K151">IF(B152=MAX($B152:$K152),1,0)</f>
        <v>0</v>
      </c>
      <c r="C151" s="57">
        <f t="shared" si="20"/>
        <v>0</v>
      </c>
      <c r="D151" s="57">
        <f t="shared" si="20"/>
        <v>0</v>
      </c>
      <c r="E151" s="57">
        <f t="shared" si="20"/>
        <v>1</v>
      </c>
      <c r="F151" s="57">
        <f t="shared" si="20"/>
        <v>0</v>
      </c>
      <c r="G151" s="57">
        <f t="shared" si="20"/>
        <v>0</v>
      </c>
      <c r="H151" s="57">
        <f t="shared" si="20"/>
        <v>0</v>
      </c>
      <c r="I151" s="57">
        <f t="shared" si="20"/>
        <v>0</v>
      </c>
      <c r="J151" s="57">
        <f t="shared" si="20"/>
        <v>0</v>
      </c>
      <c r="K151" s="57">
        <f t="shared" si="20"/>
        <v>0</v>
      </c>
    </row>
    <row r="152" spans="1:11" s="7" customFormat="1" ht="15.75" customHeight="1">
      <c r="A152" s="116" t="s">
        <v>239</v>
      </c>
      <c r="B152" s="117">
        <f>((B124-B125)*(1-$B$114)+B125-$I$77)*(1+$E$90)/(B150-$E$90)</f>
        <v>637866.3512914743</v>
      </c>
      <c r="C152" s="117">
        <f aca="true" t="shared" si="21" ref="C152:K152">((C124-C125)*(1-$B$114)+C125-$I$77)*(1+$E$90)/(C150-$E$90)</f>
        <v>663176.0598023279</v>
      </c>
      <c r="D152" s="117">
        <f t="shared" si="21"/>
        <v>683897.6882586008</v>
      </c>
      <c r="E152" s="117">
        <f t="shared" si="21"/>
        <v>701166.0372625802</v>
      </c>
      <c r="F152" s="117">
        <f t="shared" si="21"/>
        <v>695135.3131658337</v>
      </c>
      <c r="G152" s="117">
        <f t="shared" si="21"/>
        <v>675348.5025533608</v>
      </c>
      <c r="H152" s="117">
        <f t="shared" si="21"/>
        <v>657787.5217932587</v>
      </c>
      <c r="I152" s="117">
        <f t="shared" si="21"/>
        <v>572713.8376301515</v>
      </c>
      <c r="J152" s="117">
        <f t="shared" si="21"/>
        <v>499182.50428215816</v>
      </c>
      <c r="K152" s="117">
        <f t="shared" si="21"/>
        <v>473238.0874113649</v>
      </c>
    </row>
    <row r="153" spans="1:11" s="7" customFormat="1" ht="13.5" thickBot="1">
      <c r="A153" s="118" t="s">
        <v>240</v>
      </c>
      <c r="B153" s="119">
        <f>((B124-B125)*(1-$B$114)+B125-$I$77)*(1+$E$90)/(B150-$E$90)</f>
        <v>637866.3512914743</v>
      </c>
      <c r="C153" s="119">
        <f aca="true" t="shared" si="22" ref="C153:K153">((C124-C125)*(1-$B$114)+C125-$I$77)*(1+$E$90)/(C150-$E$90)</f>
        <v>663176.0598023279</v>
      </c>
      <c r="D153" s="119">
        <f t="shared" si="22"/>
        <v>683897.6882586008</v>
      </c>
      <c r="E153" s="119">
        <f t="shared" si="22"/>
        <v>701166.0372625802</v>
      </c>
      <c r="F153" s="119">
        <f t="shared" si="22"/>
        <v>695135.3131658337</v>
      </c>
      <c r="G153" s="119">
        <f t="shared" si="22"/>
        <v>675348.5025533608</v>
      </c>
      <c r="H153" s="119">
        <f t="shared" si="22"/>
        <v>657787.5217932587</v>
      </c>
      <c r="I153" s="119">
        <f t="shared" si="22"/>
        <v>572713.8376301515</v>
      </c>
      <c r="J153" s="119">
        <f t="shared" si="22"/>
        <v>499182.50428215816</v>
      </c>
      <c r="K153" s="119">
        <f t="shared" si="22"/>
        <v>473238.0874113649</v>
      </c>
    </row>
    <row r="154" spans="1:11" s="7" customFormat="1" ht="13.5" thickTop="1">
      <c r="A154" s="106"/>
      <c r="B154" s="120"/>
      <c r="C154" s="120"/>
      <c r="D154" s="120"/>
      <c r="E154" s="120"/>
      <c r="F154" s="120"/>
      <c r="G154" s="120"/>
      <c r="H154" s="120"/>
      <c r="I154" s="120"/>
      <c r="J154" s="120"/>
      <c r="K154" s="120"/>
    </row>
    <row r="155" spans="1:11" s="7" customFormat="1" ht="12.75">
      <c r="A155" s="106" t="s">
        <v>241</v>
      </c>
      <c r="B155" s="120"/>
      <c r="C155" s="120"/>
      <c r="D155" s="120"/>
      <c r="E155" s="120"/>
      <c r="F155" s="120"/>
      <c r="G155" s="120"/>
      <c r="H155" s="120"/>
      <c r="I155" s="120"/>
      <c r="J155" s="120"/>
      <c r="K155" s="120"/>
    </row>
    <row r="156" spans="1:11" s="7" customFormat="1" ht="12.75">
      <c r="A156" s="106" t="s">
        <v>242</v>
      </c>
      <c r="B156" s="120"/>
      <c r="C156" s="120"/>
      <c r="D156" s="120"/>
      <c r="E156" s="120"/>
      <c r="F156" s="120"/>
      <c r="G156" s="120"/>
      <c r="H156" s="120"/>
      <c r="I156" s="120"/>
      <c r="J156" s="120"/>
      <c r="K156" s="120"/>
    </row>
    <row r="157" s="7" customFormat="1" ht="12.75">
      <c r="B157" s="7" t="s">
        <v>243</v>
      </c>
    </row>
    <row r="158" s="7" customFormat="1" ht="12.75">
      <c r="B158" s="7" t="s">
        <v>244</v>
      </c>
    </row>
    <row r="159" s="7" customFormat="1" ht="12.75"/>
    <row r="160" spans="4:8" s="7" customFormat="1" ht="12.75">
      <c r="D160" s="121" t="s">
        <v>245</v>
      </c>
      <c r="E160" s="121" t="s">
        <v>245</v>
      </c>
      <c r="F160" s="121" t="s">
        <v>246</v>
      </c>
      <c r="G160" s="121" t="s">
        <v>247</v>
      </c>
      <c r="H160" s="7" t="s">
        <v>220</v>
      </c>
    </row>
    <row r="161" spans="4:7" s="7" customFormat="1" ht="12.75">
      <c r="D161" s="121" t="s">
        <v>248</v>
      </c>
      <c r="E161" s="121" t="s">
        <v>249</v>
      </c>
      <c r="F161" s="121"/>
      <c r="G161" s="121"/>
    </row>
    <row r="162" spans="4:8" s="7" customFormat="1" ht="12.75">
      <c r="D162" s="121">
        <f aca="true" t="shared" si="23" ref="D162:E175">IF($D$45="No",A30,A50)</f>
        <v>-100000</v>
      </c>
      <c r="E162" s="121">
        <f>IF($D$45="No",B30,B50)</f>
        <v>0.2499999</v>
      </c>
      <c r="F162" s="121" t="s">
        <v>135</v>
      </c>
      <c r="G162" s="122">
        <f>J114+F111</f>
        <v>0.17038</v>
      </c>
      <c r="H162" s="123">
        <f aca="true" t="shared" si="24" ref="H162:H175">IF($D$45="No",E30,E50)</f>
        <v>0</v>
      </c>
    </row>
    <row r="163" spans="4:8" s="7" customFormat="1" ht="12.75">
      <c r="D163" s="121">
        <f t="shared" si="23"/>
        <v>0.25</v>
      </c>
      <c r="E163" s="121">
        <f t="shared" si="23"/>
        <v>0.6699999</v>
      </c>
      <c r="F163" s="121" t="s">
        <v>136</v>
      </c>
      <c r="G163" s="122">
        <f>J114+F110</f>
        <v>0.14038</v>
      </c>
      <c r="H163" s="123">
        <f t="shared" si="24"/>
        <v>0</v>
      </c>
    </row>
    <row r="164" spans="4:8" s="7" customFormat="1" ht="12.75">
      <c r="D164" s="121">
        <f t="shared" si="23"/>
        <v>0.67</v>
      </c>
      <c r="E164" s="121">
        <f t="shared" si="23"/>
        <v>0.8699999</v>
      </c>
      <c r="F164" s="121" t="s">
        <v>137</v>
      </c>
      <c r="G164" s="122">
        <f>J114+F109</f>
        <v>0.12538</v>
      </c>
      <c r="H164" s="123">
        <f t="shared" si="24"/>
        <v>0</v>
      </c>
    </row>
    <row r="165" spans="4:8" s="7" customFormat="1" ht="12.75">
      <c r="D165" s="121">
        <f t="shared" si="23"/>
        <v>0.87</v>
      </c>
      <c r="E165" s="121">
        <f t="shared" si="23"/>
        <v>1.2699999</v>
      </c>
      <c r="F165" s="121" t="s">
        <v>138</v>
      </c>
      <c r="G165" s="122">
        <f>J114+F108</f>
        <v>0.11038</v>
      </c>
      <c r="H165" s="123">
        <f t="shared" si="24"/>
        <v>0</v>
      </c>
    </row>
    <row r="166" spans="4:8" s="7" customFormat="1" ht="12.75">
      <c r="D166" s="121">
        <f t="shared" si="23"/>
        <v>1.27</v>
      </c>
      <c r="E166" s="121">
        <f t="shared" si="23"/>
        <v>1.5699999</v>
      </c>
      <c r="F166" s="121" t="s">
        <v>139</v>
      </c>
      <c r="G166" s="122">
        <f>J114+F107</f>
        <v>0.10038</v>
      </c>
      <c r="H166" s="123">
        <f t="shared" si="24"/>
        <v>0</v>
      </c>
    </row>
    <row r="167" spans="4:8" s="7" customFormat="1" ht="12.75">
      <c r="D167" s="121">
        <f t="shared" si="23"/>
        <v>1.57</v>
      </c>
      <c r="E167" s="121">
        <f t="shared" si="23"/>
        <v>1.8699999</v>
      </c>
      <c r="F167" s="121" t="s">
        <v>140</v>
      </c>
      <c r="G167" s="122">
        <f>J114+F106</f>
        <v>0.09038</v>
      </c>
      <c r="H167" s="123">
        <f t="shared" si="24"/>
        <v>0</v>
      </c>
    </row>
    <row r="168" spans="4:8" s="7" customFormat="1" ht="12.75">
      <c r="D168" s="121">
        <f t="shared" si="23"/>
        <v>1.87</v>
      </c>
      <c r="E168" s="121">
        <f t="shared" si="23"/>
        <v>2.1699999</v>
      </c>
      <c r="F168" s="121" t="s">
        <v>141</v>
      </c>
      <c r="G168" s="122">
        <f>J114+F105</f>
        <v>0.08038000000000001</v>
      </c>
      <c r="H168" s="123">
        <f t="shared" si="24"/>
        <v>0</v>
      </c>
    </row>
    <row r="169" spans="4:8" s="7" customFormat="1" ht="12.75">
      <c r="D169" s="121">
        <f t="shared" si="23"/>
        <v>2.17</v>
      </c>
      <c r="E169" s="121">
        <f t="shared" si="23"/>
        <v>2.7599999</v>
      </c>
      <c r="F169" s="121" t="s">
        <v>142</v>
      </c>
      <c r="G169" s="122">
        <f>J114+F104</f>
        <v>0.07538</v>
      </c>
      <c r="H169" s="123">
        <f t="shared" si="24"/>
        <v>0</v>
      </c>
    </row>
    <row r="170" spans="4:8" s="7" customFormat="1" ht="12.75">
      <c r="D170" s="121">
        <f t="shared" si="23"/>
        <v>2.76</v>
      </c>
      <c r="E170" s="121">
        <f t="shared" si="23"/>
        <v>3.2899999</v>
      </c>
      <c r="F170" s="121" t="s">
        <v>143</v>
      </c>
      <c r="G170" s="122">
        <f>J114+F103</f>
        <v>0.07038</v>
      </c>
      <c r="H170" s="123">
        <f t="shared" si="24"/>
        <v>0</v>
      </c>
    </row>
    <row r="171" spans="4:8" s="7" customFormat="1" ht="12.75">
      <c r="D171" s="121">
        <f t="shared" si="23"/>
        <v>3.29</v>
      </c>
      <c r="E171" s="121">
        <f t="shared" si="23"/>
        <v>4.4899999</v>
      </c>
      <c r="F171" s="121" t="s">
        <v>144</v>
      </c>
      <c r="G171" s="122">
        <f>J114+F102</f>
        <v>0.06538</v>
      </c>
      <c r="H171" s="123">
        <f t="shared" si="24"/>
        <v>0</v>
      </c>
    </row>
    <row r="172" spans="4:8" s="7" customFormat="1" ht="12.75">
      <c r="D172" s="121">
        <f t="shared" si="23"/>
        <v>4.49</v>
      </c>
      <c r="E172" s="121">
        <f t="shared" si="23"/>
        <v>5.649999</v>
      </c>
      <c r="F172" s="121" t="s">
        <v>145</v>
      </c>
      <c r="G172" s="122">
        <f>J114+F101</f>
        <v>0.06288</v>
      </c>
      <c r="H172" s="123">
        <f t="shared" si="24"/>
        <v>0</v>
      </c>
    </row>
    <row r="173" spans="4:8" s="7" customFormat="1" ht="12.75">
      <c r="D173" s="121">
        <f t="shared" si="23"/>
        <v>5.65</v>
      </c>
      <c r="E173" s="121">
        <f t="shared" si="23"/>
        <v>6.849999</v>
      </c>
      <c r="F173" s="121" t="s">
        <v>146</v>
      </c>
      <c r="G173" s="122">
        <f>J114+F100</f>
        <v>0.06038</v>
      </c>
      <c r="H173" s="123">
        <f t="shared" si="24"/>
        <v>0</v>
      </c>
    </row>
    <row r="174" spans="4:8" s="7" customFormat="1" ht="12.75">
      <c r="D174" s="121">
        <f t="shared" si="23"/>
        <v>6.85</v>
      </c>
      <c r="E174" s="121">
        <f t="shared" si="23"/>
        <v>9.349999</v>
      </c>
      <c r="F174" s="121" t="s">
        <v>147</v>
      </c>
      <c r="G174" s="122">
        <f>J114+F99</f>
        <v>0.05738</v>
      </c>
      <c r="H174" s="123">
        <f t="shared" si="24"/>
        <v>0</v>
      </c>
    </row>
    <row r="175" spans="4:8" s="7" customFormat="1" ht="12.75">
      <c r="D175" s="121">
        <f t="shared" si="23"/>
        <v>9.65</v>
      </c>
      <c r="E175" s="121">
        <f t="shared" si="23"/>
        <v>100000</v>
      </c>
      <c r="F175" s="121" t="s">
        <v>148</v>
      </c>
      <c r="G175" s="122">
        <f>J114+F98</f>
        <v>0.053380000000000004</v>
      </c>
      <c r="H175" s="123">
        <f t="shared" si="24"/>
        <v>0</v>
      </c>
    </row>
    <row r="176" s="8" customFormat="1" ht="12.75">
      <c r="A176" s="7"/>
    </row>
    <row r="177" s="8" customFormat="1" ht="12.75">
      <c r="A177" s="7"/>
    </row>
    <row r="178" spans="2:6" s="8" customFormat="1" ht="12.75">
      <c r="B178" s="19" t="s">
        <v>250</v>
      </c>
      <c r="C178" s="19" t="s">
        <v>219</v>
      </c>
      <c r="D178" s="19" t="s">
        <v>251</v>
      </c>
      <c r="E178" s="19" t="s">
        <v>187</v>
      </c>
      <c r="F178" s="19" t="s">
        <v>239</v>
      </c>
    </row>
    <row r="179" spans="2:6" s="8" customFormat="1" ht="12.75">
      <c r="B179" s="124">
        <v>0</v>
      </c>
      <c r="C179" s="21">
        <f>B146</f>
        <v>0.1304115181751539</v>
      </c>
      <c r="D179" s="21">
        <f>B148</f>
        <v>0.0325618</v>
      </c>
      <c r="E179" s="21">
        <f>B150</f>
        <v>0.1304115181751539</v>
      </c>
      <c r="F179" s="125">
        <f>B153</f>
        <v>637866.3512914743</v>
      </c>
    </row>
    <row r="180" spans="2:6" s="8" customFormat="1" ht="12.75">
      <c r="B180" s="124">
        <v>0.1</v>
      </c>
      <c r="C180" s="21">
        <f>C146</f>
        <v>0.13583587662924765</v>
      </c>
      <c r="D180" s="21">
        <f>C148</f>
        <v>0.0325618</v>
      </c>
      <c r="E180" s="21">
        <f>C150</f>
        <v>0.1255084689663229</v>
      </c>
      <c r="F180" s="125">
        <f>C153</f>
        <v>663176.0598023279</v>
      </c>
    </row>
    <row r="181" spans="2:6" s="8" customFormat="1" ht="12.75">
      <c r="B181" s="124">
        <v>0.2</v>
      </c>
      <c r="C181" s="21">
        <f>D146</f>
        <v>0.14261632469686486</v>
      </c>
      <c r="D181" s="21">
        <f>D148</f>
        <v>0.0383568</v>
      </c>
      <c r="E181" s="21">
        <f>D150</f>
        <v>0.1217644197574919</v>
      </c>
      <c r="F181" s="125">
        <f>D153</f>
        <v>683897.6882586008</v>
      </c>
    </row>
    <row r="182" spans="2:6" s="8" customFormat="1" ht="12.75">
      <c r="B182" s="124">
        <v>0.3</v>
      </c>
      <c r="C182" s="21">
        <f>E146</f>
        <v>0.15133404364094416</v>
      </c>
      <c r="D182" s="21">
        <f>E148</f>
        <v>0.0429318</v>
      </c>
      <c r="E182" s="21">
        <f>E150</f>
        <v>0.1188133705486609</v>
      </c>
      <c r="F182" s="125">
        <f>E153</f>
        <v>701166.0372625802</v>
      </c>
    </row>
    <row r="183" spans="1:6" s="8" customFormat="1" ht="12.75">
      <c r="A183" s="7"/>
      <c r="B183" s="124">
        <v>0.4</v>
      </c>
      <c r="C183" s="21">
        <f>F146</f>
        <v>0.1629576688997165</v>
      </c>
      <c r="D183" s="21">
        <f>F148</f>
        <v>0.0551318</v>
      </c>
      <c r="E183" s="21">
        <f>F150</f>
        <v>0.11982732133982989</v>
      </c>
      <c r="F183" s="125">
        <f>F153</f>
        <v>695135.3131658337</v>
      </c>
    </row>
    <row r="184" spans="1:6" s="8" customFormat="1" ht="12.75">
      <c r="A184" s="7"/>
      <c r="B184" s="124">
        <v>0.5</v>
      </c>
      <c r="C184" s="21">
        <f>G146</f>
        <v>0.17923074426199778</v>
      </c>
      <c r="D184" s="21">
        <f>G148</f>
        <v>0.0673318</v>
      </c>
      <c r="E184" s="21">
        <f>G150</f>
        <v>0.12328127213099889</v>
      </c>
      <c r="F184" s="125">
        <f>G153</f>
        <v>675348.5025533608</v>
      </c>
    </row>
    <row r="185" spans="1:6" s="8" customFormat="1" ht="12.75">
      <c r="A185" s="7"/>
      <c r="B185" s="124">
        <v>0.6</v>
      </c>
      <c r="C185" s="21">
        <f>H146</f>
        <v>0.20854273817128235</v>
      </c>
      <c r="D185" s="21">
        <f>H148</f>
        <v>0.07183939744254454</v>
      </c>
      <c r="E185" s="21">
        <f>H150</f>
        <v>0.12652073373403966</v>
      </c>
      <c r="F185" s="125">
        <f>H153</f>
        <v>657787.5217932587</v>
      </c>
    </row>
    <row r="186" spans="1:6" s="8" customFormat="1" ht="12.75">
      <c r="A186" s="7"/>
      <c r="B186" s="124">
        <v>0.7</v>
      </c>
      <c r="C186" s="21">
        <f>I146</f>
        <v>0.2679498938790282</v>
      </c>
      <c r="D186" s="21">
        <f>I148</f>
        <v>0.0923451978078953</v>
      </c>
      <c r="E186" s="21">
        <f>I150</f>
        <v>0.14502660662923517</v>
      </c>
      <c r="F186" s="125">
        <f>I153</f>
        <v>572713.8376301515</v>
      </c>
    </row>
    <row r="187" spans="1:6" s="8" customFormat="1" ht="12.75">
      <c r="A187" s="7"/>
      <c r="B187" s="124">
        <v>0.8</v>
      </c>
      <c r="C187" s="21">
        <f>J146</f>
        <v>0.38462087337915224</v>
      </c>
      <c r="D187" s="21">
        <f>J148</f>
        <v>0.1114745480819084</v>
      </c>
      <c r="E187" s="21">
        <f>J150</f>
        <v>0.16610381314135717</v>
      </c>
      <c r="F187" s="125">
        <f>J153</f>
        <v>499182.50428215816</v>
      </c>
    </row>
    <row r="188" spans="1:6" s="8" customFormat="1" ht="12.75">
      <c r="A188" s="7"/>
      <c r="B188" s="124">
        <v>0.9</v>
      </c>
      <c r="C188" s="21">
        <f>K146</f>
        <v>0.7188617467583045</v>
      </c>
      <c r="D188" s="21">
        <f>K148</f>
        <v>0.11468626496169636</v>
      </c>
      <c r="E188" s="21">
        <f>K150</f>
        <v>0.17510381314135715</v>
      </c>
      <c r="F188" s="125">
        <f>K153</f>
        <v>473238.0874113649</v>
      </c>
    </row>
    <row r="189" s="8" customFormat="1" ht="12.75">
      <c r="A189" s="7"/>
    </row>
    <row r="190" s="8" customFormat="1" ht="12.75">
      <c r="A190" s="7"/>
    </row>
    <row r="191" s="8" customFormat="1" ht="12.75">
      <c r="A191" s="126" t="s">
        <v>252</v>
      </c>
    </row>
    <row r="192" spans="1:4" s="8" customFormat="1" ht="12.75">
      <c r="A192" s="127" t="s">
        <v>253</v>
      </c>
      <c r="B192" s="128"/>
      <c r="C192" s="128"/>
      <c r="D192" s="129">
        <f>F113</f>
        <v>59867</v>
      </c>
    </row>
    <row r="193" spans="1:4" s="8" customFormat="1" ht="12.75">
      <c r="A193" s="127" t="s">
        <v>254</v>
      </c>
      <c r="B193" s="128"/>
      <c r="C193" s="128"/>
      <c r="D193" s="130">
        <f>K97</f>
        <v>3.7568710359408035</v>
      </c>
    </row>
    <row r="194" spans="1:4" s="8" customFormat="1" ht="12.75">
      <c r="A194" s="127" t="s">
        <v>255</v>
      </c>
      <c r="B194" s="128"/>
      <c r="C194" s="128"/>
      <c r="D194" s="128">
        <f>VLOOKUP(D193,D162:H175,5)</f>
        <v>0</v>
      </c>
    </row>
    <row r="195" spans="1:4" s="8" customFormat="1" ht="12.75">
      <c r="A195" s="127" t="s">
        <v>256</v>
      </c>
      <c r="B195" s="128"/>
      <c r="C195" s="128"/>
      <c r="D195" s="131">
        <f>D192/(1+D194)</f>
        <v>59867</v>
      </c>
    </row>
  </sheetData>
  <printOptions/>
  <pageMargins left="0.5" right="0.5" top="0.5" bottom="0.75" header="0.5" footer="0.2"/>
  <pageSetup orientation="landscape" r:id="rId1"/>
  <headerFooter alignWithMargins="0">
    <oddFooter>&amp;R&amp;8Project_2
Ma/Chiu/Donovan/Huang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130"/>
  <sheetViews>
    <sheetView zoomScale="75" zoomScaleNormal="75" workbookViewId="0" topLeftCell="A1">
      <selection activeCell="E63" sqref="E63"/>
    </sheetView>
  </sheetViews>
  <sheetFormatPr defaultColWidth="9.140625" defaultRowHeight="12.75"/>
  <cols>
    <col min="1" max="1" width="27.7109375" style="0" customWidth="1"/>
    <col min="3" max="3" width="9.8515625" style="0" customWidth="1"/>
  </cols>
  <sheetData>
    <row r="1" ht="22.5" customHeight="1">
      <c r="A1" s="135" t="s">
        <v>257</v>
      </c>
    </row>
    <row r="2" ht="15">
      <c r="A2" s="135"/>
    </row>
    <row r="3" ht="15">
      <c r="A3" s="135"/>
    </row>
    <row r="4" ht="12.75">
      <c r="A4" s="136" t="s">
        <v>258</v>
      </c>
    </row>
    <row r="6" ht="12.75">
      <c r="A6" t="s">
        <v>259</v>
      </c>
    </row>
    <row r="7" ht="12.75">
      <c r="A7" t="s">
        <v>260</v>
      </c>
    </row>
    <row r="8" ht="12.75">
      <c r="A8" t="s">
        <v>261</v>
      </c>
    </row>
    <row r="9" ht="12.75">
      <c r="A9" t="s">
        <v>262</v>
      </c>
    </row>
    <row r="10" ht="12.75">
      <c r="A10" t="s">
        <v>263</v>
      </c>
    </row>
    <row r="11" ht="12.75">
      <c r="A11" t="s">
        <v>264</v>
      </c>
    </row>
    <row r="12" ht="12.75">
      <c r="A12" t="s">
        <v>265</v>
      </c>
    </row>
    <row r="15" ht="12.75">
      <c r="A15" s="137" t="s">
        <v>266</v>
      </c>
    </row>
    <row r="17" ht="12.75">
      <c r="A17" t="s">
        <v>267</v>
      </c>
    </row>
    <row r="18" ht="12.75">
      <c r="A18" t="s">
        <v>268</v>
      </c>
    </row>
    <row r="19" ht="12.75">
      <c r="A19" t="s">
        <v>269</v>
      </c>
    </row>
    <row r="20" ht="12.75">
      <c r="A20" t="s">
        <v>270</v>
      </c>
    </row>
    <row r="21" ht="12.75">
      <c r="A21" t="s">
        <v>271</v>
      </c>
    </row>
    <row r="22" ht="12.75">
      <c r="A22" t="s">
        <v>272</v>
      </c>
    </row>
    <row r="25" ht="12.75">
      <c r="A25" s="137" t="s">
        <v>273</v>
      </c>
    </row>
    <row r="27" ht="12.75">
      <c r="A27" t="s">
        <v>274</v>
      </c>
    </row>
    <row r="28" ht="12.75">
      <c r="A28" t="s">
        <v>275</v>
      </c>
    </row>
    <row r="29" ht="12.75">
      <c r="A29" t="s">
        <v>276</v>
      </c>
    </row>
    <row r="30" ht="12.75">
      <c r="A30" t="s">
        <v>277</v>
      </c>
    </row>
    <row r="31" ht="12.75">
      <c r="A31" t="s">
        <v>278</v>
      </c>
    </row>
    <row r="32" ht="12.75">
      <c r="A32" t="s">
        <v>279</v>
      </c>
    </row>
    <row r="33" ht="12.75">
      <c r="A33" t="s">
        <v>280</v>
      </c>
    </row>
    <row r="36" ht="12.75">
      <c r="A36" s="137" t="s">
        <v>281</v>
      </c>
    </row>
    <row r="37" ht="12.75">
      <c r="A37" s="6"/>
    </row>
    <row r="38" ht="12.75">
      <c r="A38" s="138" t="s">
        <v>282</v>
      </c>
    </row>
    <row r="39" ht="12.75">
      <c r="A39" s="138" t="s">
        <v>283</v>
      </c>
    </row>
    <row r="40" ht="12.75">
      <c r="A40" s="138"/>
    </row>
    <row r="41" ht="12.75">
      <c r="A41" s="142" t="s">
        <v>284</v>
      </c>
    </row>
    <row r="42" ht="12.75">
      <c r="A42" s="142" t="s">
        <v>285</v>
      </c>
    </row>
    <row r="43" ht="12.75">
      <c r="A43" s="142" t="s">
        <v>286</v>
      </c>
    </row>
    <row r="44" ht="12.75">
      <c r="A44" s="142" t="s">
        <v>287</v>
      </c>
    </row>
    <row r="45" ht="12.75">
      <c r="A45" s="142" t="s">
        <v>288</v>
      </c>
    </row>
    <row r="46" ht="12.75">
      <c r="A46" t="s">
        <v>289</v>
      </c>
    </row>
    <row r="47" ht="12.75">
      <c r="A47" t="s">
        <v>290</v>
      </c>
    </row>
    <row r="48" ht="12.75">
      <c r="A48" t="s">
        <v>291</v>
      </c>
    </row>
    <row r="49" ht="12.75">
      <c r="A49" t="s">
        <v>292</v>
      </c>
    </row>
    <row r="50" ht="12.75">
      <c r="A50" t="s">
        <v>293</v>
      </c>
    </row>
    <row r="53" ht="12.75">
      <c r="A53" s="138" t="s">
        <v>294</v>
      </c>
    </row>
    <row r="55" ht="12.75">
      <c r="A55" t="s">
        <v>295</v>
      </c>
    </row>
    <row r="56" ht="12.75">
      <c r="A56" t="s">
        <v>296</v>
      </c>
    </row>
    <row r="57" ht="12.75">
      <c r="A57" t="s">
        <v>297</v>
      </c>
    </row>
    <row r="60" ht="12.75">
      <c r="A60" s="138" t="s">
        <v>298</v>
      </c>
    </row>
    <row r="62" spans="1:2" ht="12.75">
      <c r="A62" s="1" t="s">
        <v>5</v>
      </c>
      <c r="B62" s="3">
        <v>35976</v>
      </c>
    </row>
    <row r="63" spans="1:3" ht="12.75">
      <c r="A63" s="1"/>
      <c r="B63" s="3"/>
      <c r="C63" t="s">
        <v>299</v>
      </c>
    </row>
    <row r="64" spans="1:3" ht="12.75">
      <c r="A64" s="1" t="s">
        <v>6</v>
      </c>
      <c r="B64" s="5">
        <v>2683</v>
      </c>
      <c r="C64" s="140">
        <f>$B64/$B$82</f>
        <v>0.004895913928263821</v>
      </c>
    </row>
    <row r="65" spans="1:3" ht="12.75">
      <c r="A65" s="1" t="s">
        <v>8</v>
      </c>
      <c r="B65" s="2" t="s">
        <v>7</v>
      </c>
      <c r="C65" s="140" t="s">
        <v>7</v>
      </c>
    </row>
    <row r="66" spans="1:3" ht="12.75">
      <c r="A66" s="1" t="s">
        <v>9</v>
      </c>
      <c r="B66" s="5">
        <v>68656</v>
      </c>
      <c r="C66" s="140">
        <f aca="true" t="shared" si="0" ref="C66:C77">$B66/$B$82</f>
        <v>0.12528284258623962</v>
      </c>
    </row>
    <row r="67" spans="1:3" ht="12.75">
      <c r="A67" s="1" t="s">
        <v>10</v>
      </c>
      <c r="B67" s="5">
        <v>226141</v>
      </c>
      <c r="C67" s="140">
        <f t="shared" si="0"/>
        <v>0.41266003416008523</v>
      </c>
    </row>
    <row r="68" spans="1:3" ht="12.75">
      <c r="A68" s="1" t="s">
        <v>11</v>
      </c>
      <c r="B68" s="2" t="s">
        <v>7</v>
      </c>
      <c r="C68" s="140" t="s">
        <v>7</v>
      </c>
    </row>
    <row r="69" spans="1:3" ht="12.75">
      <c r="A69" s="1" t="s">
        <v>12</v>
      </c>
      <c r="B69" s="2" t="s">
        <v>7</v>
      </c>
      <c r="C69" s="140" t="s">
        <v>7</v>
      </c>
    </row>
    <row r="70" spans="1:3" ht="12.75">
      <c r="A70" s="1" t="s">
        <v>13</v>
      </c>
      <c r="B70" s="2" t="s">
        <v>7</v>
      </c>
      <c r="C70" s="140" t="s">
        <v>7</v>
      </c>
    </row>
    <row r="71" spans="1:3" ht="12.75">
      <c r="A71" s="1" t="s">
        <v>14</v>
      </c>
      <c r="B71" s="2" t="s">
        <v>7</v>
      </c>
      <c r="C71" s="140" t="s">
        <v>7</v>
      </c>
    </row>
    <row r="72" spans="1:3" ht="12.75">
      <c r="A72" s="1" t="s">
        <v>15</v>
      </c>
      <c r="B72" s="5">
        <v>10366</v>
      </c>
      <c r="C72" s="140">
        <f t="shared" si="0"/>
        <v>0.018915782251353996</v>
      </c>
    </row>
    <row r="73" spans="1:3" ht="12.75">
      <c r="A73" s="1" t="s">
        <v>16</v>
      </c>
      <c r="B73" s="5">
        <v>307846</v>
      </c>
      <c r="C73" s="140">
        <f t="shared" si="0"/>
        <v>0.5617545729259427</v>
      </c>
    </row>
    <row r="74" spans="1:3" ht="12.75">
      <c r="A74" s="1" t="s">
        <v>17</v>
      </c>
      <c r="B74" s="5">
        <v>215301</v>
      </c>
      <c r="C74" s="140">
        <f t="shared" si="0"/>
        <v>0.3928793010321017</v>
      </c>
    </row>
    <row r="75" spans="1:3" ht="12.75">
      <c r="A75" s="1" t="s">
        <v>18</v>
      </c>
      <c r="B75" s="2" t="s">
        <v>7</v>
      </c>
      <c r="C75" s="140" t="s">
        <v>7</v>
      </c>
    </row>
    <row r="76" spans="1:3" ht="12.75">
      <c r="A76" s="1" t="s">
        <v>19</v>
      </c>
      <c r="B76" s="5">
        <v>215301</v>
      </c>
      <c r="C76" s="140">
        <f t="shared" si="0"/>
        <v>0.3928793010321017</v>
      </c>
    </row>
    <row r="77" spans="1:4" ht="12.75">
      <c r="A77" s="1" t="s">
        <v>20</v>
      </c>
      <c r="B77" s="5">
        <v>19349</v>
      </c>
      <c r="C77" s="140">
        <f t="shared" si="0"/>
        <v>0.03530787871709902</v>
      </c>
      <c r="D77" s="139"/>
    </row>
    <row r="78" spans="1:3" ht="12.75">
      <c r="A78" s="1" t="s">
        <v>21</v>
      </c>
      <c r="B78" s="2" t="s">
        <v>7</v>
      </c>
      <c r="C78" s="140" t="s">
        <v>7</v>
      </c>
    </row>
    <row r="79" spans="1:3" ht="12.75">
      <c r="A79" s="1" t="s">
        <v>22</v>
      </c>
      <c r="B79" s="2" t="s">
        <v>7</v>
      </c>
      <c r="C79" s="140" t="s">
        <v>7</v>
      </c>
    </row>
    <row r="80" spans="1:3" ht="12.75">
      <c r="A80" s="1" t="s">
        <v>23</v>
      </c>
      <c r="B80" s="2" t="s">
        <v>7</v>
      </c>
      <c r="C80" s="140" t="s">
        <v>7</v>
      </c>
    </row>
    <row r="81" spans="1:3" ht="12.75">
      <c r="A81" s="1" t="s">
        <v>24</v>
      </c>
      <c r="B81" s="5">
        <v>5512</v>
      </c>
      <c r="C81" s="140">
        <f>$B81/$B$82</f>
        <v>0.010058247324856572</v>
      </c>
    </row>
    <row r="82" spans="1:3" ht="12.75">
      <c r="A82" s="1" t="s">
        <v>25</v>
      </c>
      <c r="B82" s="5">
        <v>548008</v>
      </c>
      <c r="C82" s="140">
        <f>$B82/$B$82</f>
        <v>1</v>
      </c>
    </row>
    <row r="84" ht="12.75">
      <c r="A84" t="s">
        <v>300</v>
      </c>
    </row>
    <row r="85" ht="12.75">
      <c r="A85" t="s">
        <v>301</v>
      </c>
    </row>
    <row r="86" ht="12.75">
      <c r="A86" t="s">
        <v>302</v>
      </c>
    </row>
    <row r="87" ht="12.75">
      <c r="A87" t="s">
        <v>303</v>
      </c>
    </row>
    <row r="88" ht="12.75">
      <c r="A88" t="s">
        <v>304</v>
      </c>
    </row>
    <row r="92" ht="12.75">
      <c r="A92" s="138" t="s">
        <v>305</v>
      </c>
    </row>
    <row r="93" ht="12.75">
      <c r="A93" s="138" t="s">
        <v>306</v>
      </c>
    </row>
    <row r="94" ht="12.75">
      <c r="A94" s="138" t="s">
        <v>307</v>
      </c>
    </row>
    <row r="95" ht="12.75">
      <c r="A95" s="138" t="s">
        <v>308</v>
      </c>
    </row>
    <row r="97" ht="12.75">
      <c r="A97" t="s">
        <v>309</v>
      </c>
    </row>
    <row r="98" ht="12.75">
      <c r="A98" t="s">
        <v>310</v>
      </c>
    </row>
    <row r="99" ht="12.75">
      <c r="A99" t="s">
        <v>311</v>
      </c>
    </row>
    <row r="100" ht="12.75">
      <c r="A100" t="s">
        <v>312</v>
      </c>
    </row>
    <row r="101" ht="12.75">
      <c r="A101" t="s">
        <v>313</v>
      </c>
    </row>
    <row r="102" ht="12.75">
      <c r="A102" t="s">
        <v>314</v>
      </c>
    </row>
    <row r="103" ht="12.75">
      <c r="A103" t="s">
        <v>315</v>
      </c>
    </row>
    <row r="104" ht="12.75">
      <c r="A104" t="s">
        <v>316</v>
      </c>
    </row>
    <row r="105" ht="12.75">
      <c r="A105" t="s">
        <v>317</v>
      </c>
    </row>
    <row r="108" spans="1:7" ht="12.75">
      <c r="A108" s="141" t="s">
        <v>318</v>
      </c>
      <c r="B108" s="4"/>
      <c r="G108" s="4"/>
    </row>
    <row r="109" ht="12.75">
      <c r="G109" s="139"/>
    </row>
    <row r="110" spans="1:9" ht="12.75">
      <c r="A110" s="4" t="s">
        <v>319</v>
      </c>
      <c r="B110">
        <v>1991</v>
      </c>
      <c r="C110">
        <v>1992</v>
      </c>
      <c r="D110">
        <v>1993</v>
      </c>
      <c r="E110">
        <v>1994</v>
      </c>
      <c r="F110">
        <v>1995</v>
      </c>
      <c r="G110">
        <v>1996</v>
      </c>
      <c r="H110">
        <v>1997</v>
      </c>
      <c r="I110">
        <v>1998</v>
      </c>
    </row>
    <row r="111" spans="1:9" ht="12.75">
      <c r="A111" s="4" t="s">
        <v>250</v>
      </c>
      <c r="B111" s="139">
        <v>0.5683083846641703</v>
      </c>
      <c r="C111" s="139">
        <v>0.6561631536192227</v>
      </c>
      <c r="D111" s="139">
        <v>0.46526649648023516</v>
      </c>
      <c r="E111" s="139">
        <v>0.3445338789798711</v>
      </c>
      <c r="F111" s="139">
        <v>0.4757028188518346</v>
      </c>
      <c r="G111" s="139">
        <v>0.3965566981228844</v>
      </c>
      <c r="H111" s="139">
        <v>0.4168015863389217</v>
      </c>
      <c r="I111" s="139">
        <v>0.46702690225374577</v>
      </c>
    </row>
    <row r="112" ht="12.75">
      <c r="G112" s="139"/>
    </row>
    <row r="113" ht="12.75">
      <c r="G113" s="139"/>
    </row>
    <row r="114" spans="3:7" ht="12.75">
      <c r="C114" s="4"/>
      <c r="G114" s="139"/>
    </row>
    <row r="115" spans="3:7" ht="12.75">
      <c r="C115" s="139"/>
      <c r="G115" s="139"/>
    </row>
    <row r="116" spans="3:7" ht="12.75">
      <c r="C116" s="139"/>
      <c r="G116" s="139"/>
    </row>
    <row r="117" ht="12.75">
      <c r="C117" s="139"/>
    </row>
    <row r="118" ht="12.75">
      <c r="C118" s="139"/>
    </row>
    <row r="119" ht="12.75">
      <c r="C119" s="139"/>
    </row>
    <row r="120" ht="12.75">
      <c r="C120" s="139"/>
    </row>
    <row r="121" ht="12.75">
      <c r="C121" s="139"/>
    </row>
    <row r="122" ht="12.75">
      <c r="C122" s="139"/>
    </row>
    <row r="127" ht="12.75">
      <c r="A127" t="s">
        <v>320</v>
      </c>
    </row>
    <row r="128" ht="12.75">
      <c r="A128" t="s">
        <v>321</v>
      </c>
    </row>
    <row r="129" ht="12.75">
      <c r="A129" t="s">
        <v>322</v>
      </c>
    </row>
    <row r="130" ht="12.75">
      <c r="A130" t="s">
        <v>323</v>
      </c>
    </row>
  </sheetData>
  <printOptions/>
  <pageMargins left="0.5" right="0.5" top="0.75" bottom="0.75" header="0.5" footer="0.25"/>
  <pageSetup horizontalDpi="300" verticalDpi="300" orientation="portrait" scale="95" r:id="rId2"/>
  <headerFooter alignWithMargins="0">
    <oddFooter>&amp;R&amp;8Project_2
Ma/Chiu/Donovan/Huang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CP (USA),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 CHEUK MA</dc:creator>
  <cp:keywords/>
  <dc:description/>
  <cp:lastModifiedBy>P.V. Viswanath</cp:lastModifiedBy>
  <cp:lastPrinted>1998-08-11T02:06:43Z</cp:lastPrinted>
  <dcterms:created xsi:type="dcterms:W3CDTF">1998-08-09T04:52:21Z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