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720" windowHeight="7320" activeTab="0"/>
  </bookViews>
  <sheets>
    <sheet name="Statement of Assignment" sheetId="1" r:id="rId1"/>
    <sheet name="Comments" sheetId="2" r:id="rId2"/>
    <sheet name="capstruc" sheetId="3" r:id="rId3"/>
    <sheet name="10 year financials" sheetId="4" r:id="rId4"/>
  </sheets>
  <externalReferences>
    <externalReference r:id="rId7"/>
  </externalReferences>
  <definedNames>
    <definedName name="_1._Brief_summary_of_GE_s_operations">'[1]Questions-Answers'!$A$7</definedName>
    <definedName name="_2._News_that_might_be_relevant_for_GE_s_optimal_capital_structure.">'[1]Questions-Answers'!$A$21</definedName>
    <definedName name="_3.Results_analysis">'[1]Questions-Answers'!$A$38</definedName>
    <definedName name="Additional_questions">'[1]Questions-Answers'!$A$49</definedName>
    <definedName name="Analysis_Results" localSheetId="2">'capstruc'!$C$89</definedName>
    <definedName name="Analysis_Results">#REF!</definedName>
    <definedName name="Asset_Structure">'Comments'!$B$13</definedName>
    <definedName name="Bondholder_Dispossession">'Comments'!$B$76</definedName>
    <definedName name="Graph">'[1]Chart'!$E$1</definedName>
    <definedName name="Input_Sheet" localSheetId="2">'capstruc'!$A$7</definedName>
    <definedName name="Input_Sheet">#REF!</definedName>
    <definedName name="Input_Summary" localSheetId="2">'capstruc'!$A$80</definedName>
    <definedName name="Input_Summary">#REF!</definedName>
    <definedName name="Ratings_Estimation_Worksheet" localSheetId="2">'capstruc'!$A$125</definedName>
    <definedName name="Ratings_Estimation_Worksheet">#REF!</definedName>
    <definedName name="Ratings_Spread_Schedule" localSheetId="2">'capstruc'!$A$37</definedName>
    <definedName name="Ratings_Spread_Schedule">#REF!</definedName>
    <definedName name="Reputation_in_Debt_markets">'Comments'!$B$68</definedName>
    <definedName name="solver_opt" localSheetId="2" hidden="1">'capstruc'!#REF!</definedName>
    <definedName name="WACC_Computation_Worksheet" localSheetId="2">'capstruc'!$A$149</definedName>
    <definedName name="WACC_Computation_Worksheet">#REF!</definedName>
    <definedName name="WEB_Links">'[1]WebLinks'!$B$2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<sst xmlns="http://schemas.openxmlformats.org/spreadsheetml/2006/main" count="711" uniqueCount="413">
  <si>
    <t>Important: Before you run this spreadsheet, make sure you open up the calculation</t>
  </si>
  <si>
    <t>option under Tools, and check of the iteration box and automatic calculation.  This will eliminate</t>
  </si>
  <si>
    <t>the circular reasoning problem.</t>
  </si>
  <si>
    <t>INPUT SHEET FOR CAPITAL STRUCTURE</t>
  </si>
  <si>
    <t>Please enter the name of the company you are analyzing:</t>
  </si>
  <si>
    <t>Please enter the following information on the company you are analysing:</t>
  </si>
  <si>
    <t>Earnings before interest, taxes and depreciation (EBITDA)</t>
  </si>
  <si>
    <t>(in currency)</t>
  </si>
  <si>
    <t>Depreciation:</t>
  </si>
  <si>
    <t>Capital Spending:</t>
  </si>
  <si>
    <t>Interest expense on debt:</t>
  </si>
  <si>
    <t>Current Rating on debt (if available):</t>
  </si>
  <si>
    <t>AA</t>
  </si>
  <si>
    <t>(Rating)</t>
  </si>
  <si>
    <t>Interest rate based upon rating:</t>
  </si>
  <si>
    <t>(Look up table below for spread)</t>
  </si>
  <si>
    <t>Tax rate on ordinary income:</t>
  </si>
  <si>
    <t>(in percent)</t>
  </si>
  <si>
    <t>Number of shares outstanding:</t>
  </si>
  <si>
    <t>(in units)</t>
  </si>
  <si>
    <t>Market price per share:</t>
  </si>
  <si>
    <t>Beta of the stock:</t>
  </si>
  <si>
    <t>Book value of debt:</t>
  </si>
  <si>
    <t>Can you estimate the market value of the outstanding debt?</t>
  </si>
  <si>
    <t>No</t>
  </si>
  <si>
    <t>(Yes or No)</t>
  </si>
  <si>
    <t>If so, enter the market value of debt:</t>
  </si>
  <si>
    <t>Do you want me to try and estimate market value of debt?</t>
  </si>
  <si>
    <t>Yes</t>
  </si>
  <si>
    <t>If yes, enter the average maturity of outstanding debt?</t>
  </si>
  <si>
    <t>(in years)</t>
  </si>
  <si>
    <t>[If you do not have the maturity of your debt available, enter an approximation - say, 10 years]</t>
  </si>
  <si>
    <t>Please enter the following market information:</t>
  </si>
  <si>
    <t>Current short-term (ST) government rate:</t>
  </si>
  <si>
    <t>Current long-term (LT) government rate:</t>
  </si>
  <si>
    <t>Which rate would you like to use as the riskfree rate in the CAPM?</t>
  </si>
  <si>
    <t>LT</t>
  </si>
  <si>
    <t>(ST or LT)</t>
  </si>
  <si>
    <t>Risk premium (for use in the CAPM)</t>
  </si>
  <si>
    <t>Please enter the following information for computing ratings/spreads</t>
  </si>
  <si>
    <t>The following are the defaults used in the program:</t>
  </si>
  <si>
    <t>If coverage ratio is</t>
  </si>
  <si>
    <t>greater than</t>
  </si>
  <si>
    <t>Š to</t>
  </si>
  <si>
    <t>Rating is</t>
  </si>
  <si>
    <t>Spread over long bond is</t>
  </si>
  <si>
    <t>D</t>
  </si>
  <si>
    <t>C</t>
  </si>
  <si>
    <t>CC</t>
  </si>
  <si>
    <t>CCC</t>
  </si>
  <si>
    <t>B-</t>
  </si>
  <si>
    <t>B</t>
  </si>
  <si>
    <t>B+</t>
  </si>
  <si>
    <t>BB</t>
  </si>
  <si>
    <t>BBB</t>
  </si>
  <si>
    <t>A-</t>
  </si>
  <si>
    <t>A</t>
  </si>
  <si>
    <t>A+</t>
  </si>
  <si>
    <t>AAA</t>
  </si>
  <si>
    <t>Do you want to change these defaults?</t>
  </si>
  <si>
    <t>If you want to change these defaults, please enter the new values below:</t>
  </si>
  <si>
    <t>Spread is</t>
  </si>
  <si>
    <t>Computational Options</t>
  </si>
  <si>
    <t>The calculations assume that existing debt is refinanced at the 'recalculated rate' in calculating interest cost.</t>
  </si>
  <si>
    <t>Do you want to assume that existing debt is refinanced at the 'new' rate?</t>
  </si>
  <si>
    <t>The rating estimated for the firm at its existing debt ratio may be different from its actual rating.</t>
  </si>
  <si>
    <t>Do you want the firm's rating to be adjusted to the estimated rating?</t>
  </si>
  <si>
    <t xml:space="preserve">ANALYZING CAPITAL STRUCTURE </t>
  </si>
  <si>
    <t>INPUTS FOR ANALYSIS</t>
  </si>
  <si>
    <t>Capital Structure</t>
  </si>
  <si>
    <t>Financial Market</t>
  </si>
  <si>
    <t>Income Statement</t>
  </si>
  <si>
    <t>Current MV of Equity =</t>
  </si>
  <si>
    <t>Current Beta for Stock =</t>
  </si>
  <si>
    <t>Current EBITDA =</t>
  </si>
  <si>
    <t>Current Outstanding Debt =</t>
  </si>
  <si>
    <t>Current Bond Rating =</t>
  </si>
  <si>
    <t>Current Depreciation =</t>
  </si>
  <si>
    <t># of Shares Outstanding =</t>
  </si>
  <si>
    <t>Current T.Bill Rate =</t>
  </si>
  <si>
    <t>Current Tax Rate =</t>
  </si>
  <si>
    <t>Riskless rate to use in CAPM =</t>
  </si>
  <si>
    <t>Current T. Bond Rate =</t>
  </si>
  <si>
    <t>Current Capital Spending=</t>
  </si>
  <si>
    <t>Risk Premium =</t>
  </si>
  <si>
    <t>Current Interest Rate =</t>
  </si>
  <si>
    <t>Current Interest Expense =</t>
  </si>
  <si>
    <t>RESULTS FROM ANALYSIS</t>
  </si>
  <si>
    <t>Current</t>
  </si>
  <si>
    <t>Optimal</t>
  </si>
  <si>
    <t>Change</t>
  </si>
  <si>
    <t>D/(D+E) Ratio =</t>
  </si>
  <si>
    <t>Beta for the  Stock =</t>
  </si>
  <si>
    <t>Cost of Equity    =</t>
  </si>
  <si>
    <t>AT Interest Rate on Debt =</t>
  </si>
  <si>
    <t>WACC</t>
  </si>
  <si>
    <t>Implied Growth Rate =</t>
  </si>
  <si>
    <t>Market Value of Firm (C) =</t>
  </si>
  <si>
    <t>Market Value of Firm (G) =</t>
  </si>
  <si>
    <t>Market Price/share (C) =</t>
  </si>
  <si>
    <t>Market Price/share (G) =</t>
  </si>
  <si>
    <t>We use the following default spreads in our analysis. Change them in the input sheet if necessary:</t>
  </si>
  <si>
    <t>Ratings comparison at current debt ratio</t>
  </si>
  <si>
    <t>Rating</t>
  </si>
  <si>
    <t>Coverage gt</t>
  </si>
  <si>
    <t>and lt</t>
  </si>
  <si>
    <t>Spread</t>
  </si>
  <si>
    <t>Current Interest coverage ratio =</t>
  </si>
  <si>
    <t>Rating based upon coverage =</t>
  </si>
  <si>
    <t>Interest rate based upon coverage =</t>
  </si>
  <si>
    <t>Current rating for company =</t>
  </si>
  <si>
    <t>Current interest rate on debt =</t>
  </si>
  <si>
    <t>Current beta=</t>
  </si>
  <si>
    <t>Current Equity=</t>
  </si>
  <si>
    <t>Current Depreciation=</t>
  </si>
  <si>
    <t>Current  Debt=</t>
  </si>
  <si>
    <t>Current EBITDA=</t>
  </si>
  <si>
    <t>Current Interest rate (Company)=</t>
  </si>
  <si>
    <t>Tax rate=</t>
  </si>
  <si>
    <t>Current Rating=</t>
  </si>
  <si>
    <t>Current T.Bond rate=</t>
  </si>
  <si>
    <t>Six-month T.Bill rate=</t>
  </si>
  <si>
    <t>WORKSHEET FOR ESTIMATING RATINGS/INTEREST RATES</t>
  </si>
  <si>
    <t>D/(D+E)</t>
  </si>
  <si>
    <t>D/E</t>
  </si>
  <si>
    <t>$ Debt</t>
  </si>
  <si>
    <t>Beta</t>
  </si>
  <si>
    <t>Cost of Equity</t>
  </si>
  <si>
    <t>Operating Inc.</t>
  </si>
  <si>
    <t>Depreciation</t>
  </si>
  <si>
    <t>Interest</t>
  </si>
  <si>
    <t>Taxable Income</t>
  </si>
  <si>
    <t>Tax</t>
  </si>
  <si>
    <t>Net Income</t>
  </si>
  <si>
    <t>(+)Deprec'n</t>
  </si>
  <si>
    <t>Funds from Op.</t>
  </si>
  <si>
    <t>Pre-tax Int. cov</t>
  </si>
  <si>
    <t></t>
  </si>
  <si>
    <t>Funds Int. Cov</t>
  </si>
  <si>
    <t>Funds/Debt</t>
  </si>
  <si>
    <t>Likely Rating</t>
  </si>
  <si>
    <t>Interest Rate</t>
  </si>
  <si>
    <t>Eff. Tax Rate</t>
  </si>
  <si>
    <t>WORKSHEET FOR CALCULATING WEIGHTED AVERAGE COST OF CAPITAL</t>
  </si>
  <si>
    <t>Cost of equity</t>
  </si>
  <si>
    <t>Cost of debt</t>
  </si>
  <si>
    <t>Firm Value (C)</t>
  </si>
  <si>
    <t>Firm Value (G)</t>
  </si>
  <si>
    <t>*Firm Value (C): No growth in savings. New Firm Value=Current Firm value +{(WACC(current)-New WACC)*Current firm value/New WACC}</t>
  </si>
  <si>
    <t>*Firm Value (G): Savings grow. New Firm Value = (EBIT*(1-t)+Depreciation-Capital Spending)/(New WACC-g)</t>
  </si>
  <si>
    <t xml:space="preserve">The program uses the following interest coverage ratios and ratings relationships. You can modify them on the input sheet. </t>
  </si>
  <si>
    <t xml:space="preserve">The interest rates are automatically updated when the T.Bond rate is entered. </t>
  </si>
  <si>
    <t>Interest cov</t>
  </si>
  <si>
    <t>RATING</t>
  </si>
  <si>
    <t>Interest rate</t>
  </si>
  <si>
    <t>Low</t>
  </si>
  <si>
    <t>High</t>
  </si>
  <si>
    <t>BALANCE SHEET</t>
  </si>
  <si>
    <t xml:space="preserve">FISCAL YEAR ENDING  </t>
  </si>
  <si>
    <t>NA</t>
  </si>
  <si>
    <t xml:space="preserve">INVENTORIES         </t>
  </si>
  <si>
    <t>OTHER CURRENT ASSETS</t>
  </si>
  <si>
    <t>TOTAL CURRENT ASSETS</t>
  </si>
  <si>
    <t xml:space="preserve">TOTAL ASSETS        </t>
  </si>
  <si>
    <t xml:space="preserve">ACCOUNTS PAYABLE    </t>
  </si>
  <si>
    <t xml:space="preserve">INCOME TAXES        </t>
  </si>
  <si>
    <t xml:space="preserve">LONG TERM DEBT      </t>
  </si>
  <si>
    <t xml:space="preserve">TOTAL LIABILITIES   </t>
  </si>
  <si>
    <t xml:space="preserve">PREFERRED STOCK     </t>
  </si>
  <si>
    <t xml:space="preserve">CAPITAL SURPLUS     </t>
  </si>
  <si>
    <t xml:space="preserve">RETAINED EARNINGS   </t>
  </si>
  <si>
    <t xml:space="preserve">TREASURY STOCK      </t>
  </si>
  <si>
    <t>SELL GEN &amp; ADMIN EXP</t>
  </si>
  <si>
    <t>DEPRECIATION &amp; AMORT</t>
  </si>
  <si>
    <t xml:space="preserve">INTEREST EXPENSE    </t>
  </si>
  <si>
    <t>NET INC BEF EX ITEMS</t>
  </si>
  <si>
    <t xml:space="preserve">NET INCOME          </t>
  </si>
  <si>
    <t>GENERAL ELECTRIC COMPANY</t>
  </si>
  <si>
    <t>CUSIP NO:</t>
  </si>
  <si>
    <t>SEDOL NO:</t>
  </si>
  <si>
    <t>ISIN NO:</t>
  </si>
  <si>
    <t>US3696041033</t>
  </si>
  <si>
    <t>VALOR NO:</t>
  </si>
  <si>
    <t>TICKER SYMBOL:</t>
  </si>
  <si>
    <t>GE</t>
  </si>
  <si>
    <t>ASSETS (000'S)</t>
  </si>
  <si>
    <t xml:space="preserve">       12/31/97</t>
  </si>
  <si>
    <t xml:space="preserve">       12/31/96</t>
  </si>
  <si>
    <t xml:space="preserve">       12/31/95</t>
  </si>
  <si>
    <t xml:space="preserve">       12/31/94</t>
  </si>
  <si>
    <t xml:space="preserve">       12/31/93</t>
  </si>
  <si>
    <t xml:space="preserve">       12/31/92</t>
  </si>
  <si>
    <t xml:space="preserve">       12/31/91</t>
  </si>
  <si>
    <t xml:space="preserve">       12/31/90</t>
  </si>
  <si>
    <t xml:space="preserve">       12/31/89</t>
  </si>
  <si>
    <t xml:space="preserve">       12/31/88</t>
  </si>
  <si>
    <t xml:space="preserve">CASH &amp; EQUIVALENTS  </t>
  </si>
  <si>
    <t xml:space="preserve">NET RECEIVABLES     </t>
  </si>
  <si>
    <t>RAW MATERIALS</t>
  </si>
  <si>
    <t xml:space="preserve">WORK IN PROCESS     </t>
  </si>
  <si>
    <t>FINISHED GOODS</t>
  </si>
  <si>
    <t>PROGRESS PAYMENT&amp;OTH</t>
  </si>
  <si>
    <t>PREPAID EXPENSES</t>
  </si>
  <si>
    <t xml:space="preserve">OTHER INVESTMENTS   </t>
  </si>
  <si>
    <t xml:space="preserve">INVST IN ASSOC COMP </t>
  </si>
  <si>
    <t>LONG TERM RECEIVBLES</t>
  </si>
  <si>
    <t>PROP PLANT EQ-GROSS</t>
  </si>
  <si>
    <t xml:space="preserve">ACCUM DEPRECIATION  </t>
  </si>
  <si>
    <t xml:space="preserve">NET PP&amp;E            </t>
  </si>
  <si>
    <t>DEFERRED CHARGES</t>
  </si>
  <si>
    <t>OTH TANGIBLE ASSETS</t>
  </si>
  <si>
    <t>INTANGIBLE OTH ASSTS</t>
  </si>
  <si>
    <t>OTHER ASSETS</t>
  </si>
  <si>
    <t>LIABILITIES (000'S)</t>
  </si>
  <si>
    <t xml:space="preserve">ST DEBT &amp; CUR LTD   </t>
  </si>
  <si>
    <t>ACCRUED PAYROLL</t>
  </si>
  <si>
    <t>DIVIDENDS PAYABLE</t>
  </si>
  <si>
    <t>INCOME TAXES PAYABLE</t>
  </si>
  <si>
    <t>OTHER CURRENT LIAB</t>
  </si>
  <si>
    <t xml:space="preserve">TOT CUR LIABILITIES </t>
  </si>
  <si>
    <t>PROV RISKS/CHARGES</t>
  </si>
  <si>
    <t>DEFERRED INCOME</t>
  </si>
  <si>
    <t xml:space="preserve">DEFERRED TAXES      </t>
  </si>
  <si>
    <t>DEF TAX LIAB UNTX RE</t>
  </si>
  <si>
    <t>OTHER LIABILITIES</t>
  </si>
  <si>
    <t>UNREAL SEC GAIN/LOSS</t>
  </si>
  <si>
    <t xml:space="preserve">NON EQUITY RESERVES </t>
  </si>
  <si>
    <t xml:space="preserve">MINORITY INTEREST   </t>
  </si>
  <si>
    <t>COMMON STOCK/ORD CAP</t>
  </si>
  <si>
    <t>REVALUATION RESERVES</t>
  </si>
  <si>
    <t>OTH APPROPRIATED RES</t>
  </si>
  <si>
    <t>UNAPPROPRIATED RESRV</t>
  </si>
  <si>
    <t>EQTY IN UNTAXED RESV</t>
  </si>
  <si>
    <t>ESOP GUARANTEES</t>
  </si>
  <si>
    <t>UNRZD FOR EXC GN/LOS</t>
  </si>
  <si>
    <t>COMMON SHLDRS EQUITY</t>
  </si>
  <si>
    <t>TOTAL LIABS &amp; EQUITY</t>
  </si>
  <si>
    <t>INCOME STATEMENT (000'S)</t>
  </si>
  <si>
    <t>NET SALES OR REVENUE</t>
  </si>
  <si>
    <t xml:space="preserve">COST OF GOODS SOLD  </t>
  </si>
  <si>
    <t xml:space="preserve">GROSS INCOME        </t>
  </si>
  <si>
    <t>OTHER OPTG EXPENSES</t>
  </si>
  <si>
    <t xml:space="preserve">TOTAL OPER EXPENSES </t>
  </si>
  <si>
    <t xml:space="preserve">OPERATING INCOME    </t>
  </si>
  <si>
    <t xml:space="preserve">NON OPER INT INCOME </t>
  </si>
  <si>
    <t>EXTRA-CREDIT-PRETAX</t>
  </si>
  <si>
    <t>EXTRA-CHARGE-PRETAX</t>
  </si>
  <si>
    <t>PRETAX EQTY IN EARNS</t>
  </si>
  <si>
    <t>OTHER INC/EXP - NET</t>
  </si>
  <si>
    <t>RESERVES - INCR/DECR</t>
  </si>
  <si>
    <t>INTEREST CAPITALIZED</t>
  </si>
  <si>
    <t xml:space="preserve">PRETAX INCOME       </t>
  </si>
  <si>
    <t>EQUITY IN EARNINGS</t>
  </si>
  <si>
    <t>AFT TAX OTH INC/EXP</t>
  </si>
  <si>
    <t xml:space="preserve">DISC OPERATIONS     </t>
  </si>
  <si>
    <t>EXTRA ITEMS</t>
  </si>
  <si>
    <t>NET INC BEF PREF DIV</t>
  </si>
  <si>
    <t>PFD DIV REQUIREMENTS</t>
  </si>
  <si>
    <t>KEY FINANCIAL ITEMS (000'S US$)</t>
  </si>
  <si>
    <t>MARKET CAPITAL (US$)</t>
  </si>
  <si>
    <t xml:space="preserve">COMMON EQUITY (US$) </t>
  </si>
  <si>
    <t xml:space="preserve">TOTAL ASSETS (US$)  </t>
  </si>
  <si>
    <t xml:space="preserve">SALES (US$)         </t>
  </si>
  <si>
    <t xml:space="preserve">NET INCOME (US$)    </t>
  </si>
  <si>
    <t xml:space="preserve">                         FUNDS FLOW STATEMENT (000's)</t>
  </si>
  <si>
    <t>SOURCES OF FUNDS</t>
  </si>
  <si>
    <t>DATE FISCAL YEAR END</t>
  </si>
  <si>
    <t>NET INCOME/START LIN</t>
  </si>
  <si>
    <t>DEPRE, DEPLE &amp; AMORT</t>
  </si>
  <si>
    <t>DEFER TAX &amp; ITC</t>
  </si>
  <si>
    <t>OTHER CASH FLOW</t>
  </si>
  <si>
    <t>FUNDS FROM OPERATION</t>
  </si>
  <si>
    <t>EXTRAORDINARY ITEMS</t>
  </si>
  <si>
    <t>FUNDS-OTH OPER ACT</t>
  </si>
  <si>
    <t>PROCEED SALE/ISS STK</t>
  </si>
  <si>
    <t>STOCKOPTION PROCEEDS</t>
  </si>
  <si>
    <t>OTHER STOCK SALES</t>
  </si>
  <si>
    <t>DISPOSAL FIX ASSETS</t>
  </si>
  <si>
    <t>INCR/DECR IN ST DEBT</t>
  </si>
  <si>
    <t>LONG TERM BORROWING</t>
  </si>
  <si>
    <t>DECR IN INVESTMENTS</t>
  </si>
  <si>
    <t>CHGS IN CSH &amp;/OR LIQ</t>
  </si>
  <si>
    <t>OTH SOURCE/USE-FIN</t>
  </si>
  <si>
    <t>EFFECT-EXCH ON CASH</t>
  </si>
  <si>
    <t>OTHER SOURCES</t>
  </si>
  <si>
    <t>TOTAL SOURCES</t>
  </si>
  <si>
    <t>USES OF FUNDS</t>
  </si>
  <si>
    <t>CASH DIVS PAID-TOTAL</t>
  </si>
  <si>
    <t>CAPITAL EXPENDITURE</t>
  </si>
  <si>
    <t>NET ASSETS-ACQUISITN</t>
  </si>
  <si>
    <t>ADDITS TO OTH ASSETS</t>
  </si>
  <si>
    <t>REDUCTION IN LT DEBT</t>
  </si>
  <si>
    <t>COM/PFD PURCH RTRD</t>
  </si>
  <si>
    <t>INCR IN INVESTMENTS</t>
  </si>
  <si>
    <t>OTH USE/SOURCE-INV</t>
  </si>
  <si>
    <t>OTHER USES</t>
  </si>
  <si>
    <t>TOTAL USES</t>
  </si>
  <si>
    <t>RECONCILIATION OF SOURCES</t>
  </si>
  <si>
    <t>INC/DEC CASH&amp;ST INVS</t>
  </si>
  <si>
    <t>INC/DEC WORK CAPITAL</t>
  </si>
  <si>
    <t>NT-CASH-FL-OPER-ACTV</t>
  </si>
  <si>
    <t>NET-CSH-FLOW-INVESTG</t>
  </si>
  <si>
    <t>NET-CSH-FLOW-FINCING</t>
  </si>
  <si>
    <t>FOOTNOTES TO FINANCIAL STATEMENTS:</t>
  </si>
  <si>
    <t xml:space="preserve">   1:  1997, 1996, 1995, 1994, 1993, 1992, 1991, 1990 - INCLUDES WORK IN PROGRESS</t>
  </si>
  <si>
    <t>2:  1997, 1996, 1995 - COMPANY DOES NOT REPORT CURRENT ASSETS; CALCULATED</t>
  </si>
  <si>
    <t>3:  1994 - INCLUDES ASSETS OF DISCONTINUED KIDDER-PEABODY OPERATIONS</t>
  </si>
  <si>
    <t>4:  1997, 1996, 1995 - COMPANY DOES NOT REPORT CURRENT LIABILITIES; CALCULATED</t>
  </si>
  <si>
    <t>5:  1997, 1996, 1995, 1994, 1990, 1989, 1988 - ACQ'D(1997 - BANCO ALIANZA,</t>
  </si>
  <si>
    <t>MULTISERVIS, SYSTEMS INTERNATIONAL, IMP LEAS, TRIDOM CORP, GREENWICH AIR SERVICES</t>
  </si>
  <si>
    <t xml:space="preserve">INC, UNC INC, CENTRAL TRANSPORT RENTAL GROUP PLC &amp; EXPRESS SYSTEMS INC. IN 97)(1996 </t>
  </si>
  <si>
    <t xml:space="preserve"> OUTLET COMMUNICATIONS INC, MIETFINANZ GMBH, AMERIDATA TECHNOLOGIES, UNIVERSAL DATA</t>
  </si>
  <si>
    <t>CONSULTANTS INC &amp; BARCLAYS FACTORING SPA IN 96)(1995 - GRAND TRANSPORT SYSTEMS PLC</t>
  </si>
  <si>
    <t>IN 95)(1994 - TOTAL AUDIO VISUAL SERVICES INC &amp; CONSOLIDATED INSURANCE GROUP IN</t>
  </si>
  <si>
    <t>94)(1990 - PEGASUS BROADCASTING INC IN 90)(1989 - MAJORITY INTEREST IN TUNGSRAM CO</t>
  </si>
  <si>
    <t>IN 89)(1988 - ROPER CORP &amp; BORG-WARNER CHEMICAL IN 88)</t>
  </si>
  <si>
    <t>6:  1994 - INCLUDES INCREASE IN SHORT-TERM BORROWINGS</t>
  </si>
  <si>
    <t>7:  1994 - INCLUDES REDUCTION OF SHORT TERM DEBT</t>
  </si>
  <si>
    <t>from yahoo, as of 5/1/98</t>
  </si>
  <si>
    <t>current liabilities seem to be much larger!</t>
  </si>
  <si>
    <t>Standard and Poors</t>
  </si>
  <si>
    <t>30 yr T-bond yield accroding to http://www.bloomberg.com/markets/iyc.html on 5/7/98</t>
  </si>
  <si>
    <t>3 month T-bill yield according to http://www.bloomberg.com/markets/iyc.html on 5/7/98</t>
  </si>
  <si>
    <t>A "Yes" assumes that bondholders have covenants requiring refinancing upon a major capital structure change.</t>
  </si>
  <si>
    <t>which is quite different from the actual debt ratio of around 35%.  Why should this be so?</t>
  </si>
  <si>
    <t xml:space="preserve">To answer this, we might look at the assets for the 1997 year. </t>
  </si>
  <si>
    <t>Percentages</t>
  </si>
  <si>
    <t xml:space="preserve">It is notable that only 10% of GE's assets are in traditional fixed assets (net of depreciation), </t>
  </si>
  <si>
    <t xml:space="preserve">such as property,plant and equipment.  </t>
  </si>
  <si>
    <t>40% is in long-term receivables, and 30% is in current assets.  This is probably due to the</t>
  </si>
  <si>
    <t xml:space="preserve">This may be for purposes of expected acquisitions (supported by GE's history), </t>
  </si>
  <si>
    <t>bonds with differing maturities; also ge manages debt with derivatives; effective maturity of debt difficulty to figure out; see notes to GE's financial statements at GE's web site, cf. 'Comments'!b41</t>
  </si>
  <si>
    <t xml:space="preserve">Furthermore, 20% is in cash and cash equivalents.  </t>
  </si>
  <si>
    <t>If we look at the average debt ratio in the banks and financial services industry (chap. 17 of Damodaran),</t>
  </si>
  <si>
    <t>we see that the number is much smaller, viz. 17.23%!</t>
  </si>
  <si>
    <t>asset structure of GE Capital services.</t>
  </si>
  <si>
    <t>From the 1996 financial statements by segment, we see that GECS accounted for 41%</t>
  </si>
  <si>
    <t>of GE's revenues, and about half of it's profits.</t>
  </si>
  <si>
    <t>Nevertheless, it is not clear, why it should be optimal for GE to maintain a AAA rating consistently.</t>
  </si>
  <si>
    <t>One possibility is that GE's managers are risk averse.</t>
  </si>
  <si>
    <t>Another possibility is that GE is building reputation, so that its debt cost is much lower</t>
  </si>
  <si>
    <t>than for other issuers with similar ratings or similar coverage ratios.</t>
  </si>
  <si>
    <t>Furthermore, GECS is a big issuer in the commercial paper market, and its reputation may</t>
  </si>
  <si>
    <t>be important in keeping costs down.</t>
  </si>
  <si>
    <t>Some comments on GE's asset structure.</t>
  </si>
  <si>
    <t>Importance of Reputation in the Debt markets</t>
  </si>
  <si>
    <t>Obviously, if the previous comments are valid, GE would not have found it optimal to dispossess bondholders.</t>
  </si>
  <si>
    <t>Event</t>
  </si>
  <si>
    <t>Date</t>
  </si>
  <si>
    <t>GE acquires GEC ALSTHOM Low Voltage Equipment Liverpool Operation.</t>
  </si>
  <si>
    <t>GE appliances teams with Cargill Salt to market water conditioning products; expands marketing alliances.</t>
  </si>
  <si>
    <t>GE Medical Systems forms Nuclear Medicine Joint Venture with Elscint, Ltd.</t>
  </si>
  <si>
    <t>Bayer and GE Plastics are to form automotive Glazing Joint Venture; JV will develop technology for abrasion-resistant, coated polycarbonate vehicle windows.</t>
  </si>
  <si>
    <t>GE completes an acquisition of Greenwich Air Services.</t>
  </si>
  <si>
    <t>GE completes an acquisition of UNC, Incorporated.</t>
  </si>
  <si>
    <t>GE and CFM win majority of 1997's large commercial engine orders.</t>
  </si>
  <si>
    <t>Lockheed Martin, General Electric close on exchange of assets.</t>
  </si>
  <si>
    <t>Years</t>
  </si>
  <si>
    <t>Year</t>
  </si>
  <si>
    <t>Debt ratio (BV ratio)</t>
  </si>
  <si>
    <t xml:space="preserve">However, note that whereas the number of shares outstanding remained fairly constant </t>
  </si>
  <si>
    <t>over the last 8 years, the stock price rose from a low of 36.375 in 1992 to the current</t>
  </si>
  <si>
    <t>stock price of 85.13.  In other words, the debt ratio has remained constant, and</t>
  </si>
  <si>
    <t>may even have dropped.</t>
  </si>
  <si>
    <t>The graph of the debt ratio, using book values seems to have risen somewhat over the years.</t>
  </si>
  <si>
    <t>This can be investigated further by looking at its debt ratio over time</t>
  </si>
  <si>
    <t>We can also look at its payout ratio.</t>
  </si>
  <si>
    <t>EPS</t>
  </si>
  <si>
    <t>div. ps</t>
  </si>
  <si>
    <t>Payout ratio</t>
  </si>
  <si>
    <t>Note that the payout ratio has not changed much over time.</t>
  </si>
  <si>
    <t>Certainly, it has not increased appreciably.</t>
  </si>
  <si>
    <t>GE's behavior towards its bondholders</t>
  </si>
  <si>
    <t>GE's recent acquisitions and strategic alliances</t>
  </si>
  <si>
    <t>and hence the cash doesn't warrant being offset with debt.</t>
  </si>
  <si>
    <t>Here's a list of some recent acquisitions by GE (courtesy of the Young Investors Group, Spring 1998).</t>
  </si>
  <si>
    <t>However, the company has repurchased stock as well.  This has to be taken into account.</t>
  </si>
  <si>
    <t xml:space="preserve">The optimal capital structure according to the spreadsheet analysis is 80%, </t>
  </si>
  <si>
    <t>Currency numbers in thousands of dollars</t>
  </si>
  <si>
    <t>In other words, GE is similar to a financial services firm than to a manufacturing firm</t>
  </si>
  <si>
    <t>Capital Structure Analysis</t>
  </si>
  <si>
    <t>You can find 10 years worth of financial statement information on General Electric from my website. In</t>
  </si>
  <si>
    <t>addition, if you choose to, you can obtain additional information, either from the company itself or from</t>
  </si>
  <si>
    <t>other websites, such as the SEC Database. Use this information to analyse General Electric's capital</t>
  </si>
  <si>
    <t>structure, using the approach laid out in Chapter 18 of the text (cost of capital approach).</t>
  </si>
  <si>
    <t>A useful source of information is the company's annual report (for US companies, this can be obtained,</t>
  </si>
  <si>
    <t>either by writing to the company, from a library, or from the SEC Database), and in trade publications and</t>
  </si>
  <si>
    <t xml:space="preserve">other news outlets. </t>
  </si>
  <si>
    <t>The report should be presented on an Excel spreadsheet, and should consist of two different worksheets.</t>
  </si>
  <si>
    <t>Worksheet I will contain the spreadsheet analysis of capital structure using the template that you can get</t>
  </si>
  <si>
    <t>from Prof. Damodaran's website in the Spreadsheets section. Worksheet II (which should be part of the</t>
  </si>
  <si>
    <t xml:space="preserve">same file) should have the following format: </t>
  </si>
  <si>
    <t xml:space="preserve">     Brief summary of the firm's operations. </t>
  </si>
  <si>
    <t xml:space="preserve">     History of recent events, if any, that might be relevant for the firm's optimal capital structure. </t>
  </si>
  <si>
    <t xml:space="preserve">     Discussion of results from the spreadsheet analysis. </t>
  </si>
  <si>
    <t xml:space="preserve">     A copy of the any auxiliary documents that are used in your analysis. It will be sufficient to provide</t>
  </si>
  <si>
    <t xml:space="preserve">     a link to the web location where this can be found. </t>
  </si>
  <si>
    <t>In addition, answer the following questions:</t>
  </si>
  <si>
    <t xml:space="preserve">     Discuss other factors, which you have not explicitly taken into account in your spreadsheet</t>
  </si>
  <si>
    <t xml:space="preserve">     analysis, which affect your recommendation. </t>
  </si>
  <si>
    <t xml:space="preserve">     Discuss the nature of General Electric's assets, from the viewpoint of its optimal capital structure. </t>
  </si>
  <si>
    <t xml:space="preserve">     Do you see any management actions in General Electric's history that might be interpreted as</t>
  </si>
  <si>
    <t xml:space="preserve">     attempts to dispossess bondholders in favor of stockholders. (Include events where the main</t>
  </si>
  <si>
    <t xml:space="preserve">     objective might have been a legitimate one, but which nevertheless had as a side objective, the</t>
  </si>
  <si>
    <t xml:space="preserve">     transfer of wealth from bondholders to stockholders.) </t>
  </si>
  <si>
    <t>Please name the different areas of your spreadsheet for easy location. Information on how to name areas</t>
  </si>
  <si>
    <t xml:space="preserve">of your spreadsheet can be found at my website. </t>
  </si>
  <si>
    <t>All project analyses must be done using EXCEL, or converted to EXCEL format. The report must be</t>
  </si>
  <si>
    <t>submitted on a 3.5" diskette, or (preferably) emailed to me as an attachment. If you have difficulty putting</t>
  </si>
  <si>
    <t>your discussion into an Excel worksheet, you may, instead, use a Word file. Name your EXCEL file</t>
  </si>
  <si>
    <t>pvcapstr.xls, and your Word file, if any, pvcapstr.doc.</t>
  </si>
  <si>
    <t xml:space="preserve">You can find this description at </t>
  </si>
  <si>
    <t>http://library.pace.edu/~viswanat/class/320/assign/spr98.html#capstrucanal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</si>
</sst>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  <numFmt numFmtId="166" formatCode="0.0_);[Red]\(0.0\)"/>
    <numFmt numFmtId="167" formatCode="&quot;$&quot;#,##0.000_);[Red]\(&quot;$&quot;#,##0.000\)"/>
    <numFmt numFmtId="168" formatCode="&quot;$&quot;#,##0.0000_);[Red]\(&quot;$&quot;#,##0.0000\)"/>
    <numFmt numFmtId="169" formatCode="&quot;$&quot;#,##0.00000_);[Red]\(&quot;$&quot;#,##0.00000\)"/>
    <numFmt numFmtId="170" formatCode="#,##0;[Red]\(#,##0\)"/>
    <numFmt numFmtId="171" formatCode="&quot;$&quot;#,##0;[Red]&quot;$&quot;\(#,##0\)"/>
    <numFmt numFmtId="172" formatCode="#,##0.00;[Red]\(#,##0.00\)"/>
    <numFmt numFmtId="173" formatCode="0.0000000000000000%"/>
    <numFmt numFmtId="174" formatCode="0.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&quot;$&quot;#,##0.0_);[Red]\(&quot;$&quot;#,##0.0\)"/>
    <numFmt numFmtId="188" formatCode="0.0%"/>
    <numFmt numFmtId="189" formatCode="&quot;$&quot;#,##0.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name val="Tms Rmn"/>
      <family val="0"/>
    </font>
    <font>
      <sz val="10"/>
      <name val="Arial"/>
      <family val="0"/>
    </font>
    <font>
      <sz val="10"/>
      <color indexed="10"/>
      <name val="Tms Rmn"/>
      <family val="0"/>
    </font>
    <font>
      <u val="single"/>
      <sz val="10"/>
      <color indexed="12"/>
      <name val="Geneva"/>
      <family val="0"/>
    </font>
    <font>
      <sz val="10"/>
      <color indexed="10"/>
      <name val="Geneva"/>
      <family val="0"/>
    </font>
    <font>
      <sz val="10"/>
      <name val="Times New Roman"/>
      <family val="1"/>
    </font>
    <font>
      <sz val="6"/>
      <name val="Times New Roman"/>
      <family val="1"/>
    </font>
    <font>
      <u val="single"/>
      <sz val="10"/>
      <color indexed="36"/>
      <name val="Geneva"/>
      <family val="0"/>
    </font>
    <font>
      <b/>
      <sz val="10"/>
      <color indexed="18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8" fontId="4" fillId="0" borderId="4" xfId="2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4" fontId="4" fillId="0" borderId="4" xfId="15" applyFont="1" applyBorder="1" applyAlignment="1">
      <alignment horizontal="center"/>
    </xf>
    <xf numFmtId="8" fontId="4" fillId="0" borderId="0" xfId="2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6" fontId="4" fillId="0" borderId="0" xfId="0" applyNumberFormat="1" applyFont="1" applyBorder="1" applyAlignment="1">
      <alignment horizontal="center"/>
    </xf>
    <xf numFmtId="6" fontId="4" fillId="0" borderId="9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5" fontId="4" fillId="0" borderId="9" xfId="21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1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0" fontId="4" fillId="0" borderId="13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6" fontId="4" fillId="0" borderId="14" xfId="0" applyNumberFormat="1" applyFont="1" applyBorder="1" applyAlignment="1">
      <alignment horizontal="center"/>
    </xf>
    <xf numFmtId="5" fontId="4" fillId="0" borderId="14" xfId="0" applyNumberFormat="1" applyFont="1" applyBorder="1" applyAlignment="1">
      <alignment horizontal="center"/>
    </xf>
    <xf numFmtId="8" fontId="4" fillId="0" borderId="13" xfId="21" applyFont="1" applyBorder="1" applyAlignment="1">
      <alignment horizontal="center"/>
    </xf>
    <xf numFmtId="8" fontId="4" fillId="0" borderId="14" xfId="21" applyFont="1" applyBorder="1" applyAlignment="1">
      <alignment horizontal="center"/>
    </xf>
    <xf numFmtId="7" fontId="4" fillId="0" borderId="15" xfId="0" applyNumberFormat="1" applyFont="1" applyBorder="1" applyAlignment="1">
      <alignment horizontal="center"/>
    </xf>
    <xf numFmtId="7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4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0" fontId="4" fillId="0" borderId="25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left"/>
    </xf>
    <xf numFmtId="10" fontId="4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10" fontId="4" fillId="0" borderId="32" xfId="0" applyNumberFormat="1" applyFont="1" applyBorder="1" applyAlignment="1">
      <alignment horizontal="center"/>
    </xf>
    <xf numFmtId="10" fontId="6" fillId="0" borderId="32" xfId="0" applyNumberFormat="1" applyFont="1" applyBorder="1" applyAlignment="1">
      <alignment horizontal="center"/>
    </xf>
    <xf numFmtId="10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10" fontId="4" fillId="0" borderId="35" xfId="0" applyNumberFormat="1" applyFont="1" applyBorder="1" applyAlignment="1">
      <alignment horizontal="center"/>
    </xf>
    <xf numFmtId="5" fontId="4" fillId="0" borderId="13" xfId="0" applyNumberFormat="1" applyFont="1" applyBorder="1" applyAlignment="1">
      <alignment horizontal="center"/>
    </xf>
    <xf numFmtId="5" fontId="4" fillId="0" borderId="35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10" fontId="4" fillId="0" borderId="37" xfId="0" applyNumberFormat="1" applyFont="1" applyBorder="1" applyAlignment="1">
      <alignment horizontal="center"/>
    </xf>
    <xf numFmtId="10" fontId="4" fillId="0" borderId="3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4" fillId="0" borderId="34" xfId="0" applyNumberFormat="1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10" fontId="4" fillId="0" borderId="42" xfId="0" applyNumberFormat="1" applyFont="1" applyBorder="1" applyAlignment="1">
      <alignment horizontal="center"/>
    </xf>
    <xf numFmtId="10" fontId="4" fillId="0" borderId="43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0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4" fontId="4" fillId="0" borderId="4" xfId="21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3" xfId="21" applyNumberFormat="1" applyFont="1" applyBorder="1" applyAlignment="1">
      <alignment horizontal="center"/>
    </xf>
    <xf numFmtId="166" fontId="4" fillId="0" borderId="4" xfId="21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left"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4" fillId="0" borderId="23" xfId="0" applyNumberFormat="1" applyFont="1" applyBorder="1" applyAlignment="1">
      <alignment horizontal="left"/>
    </xf>
    <xf numFmtId="2" fontId="4" fillId="0" borderId="13" xfId="21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left"/>
    </xf>
    <xf numFmtId="2" fontId="4" fillId="0" borderId="45" xfId="0" applyNumberFormat="1" applyFont="1" applyBorder="1" applyAlignment="1">
      <alignment horizontal="center"/>
    </xf>
    <xf numFmtId="0" fontId="8" fillId="0" borderId="0" xfId="32" applyAlignment="1">
      <alignment wrapText="1"/>
      <protection/>
    </xf>
    <xf numFmtId="0" fontId="8" fillId="0" borderId="0" xfId="32" applyAlignment="1">
      <alignment horizontal="right"/>
      <protection/>
    </xf>
    <xf numFmtId="0" fontId="8" fillId="0" borderId="0" xfId="32">
      <alignment/>
      <protection/>
    </xf>
    <xf numFmtId="0" fontId="9" fillId="0" borderId="0" xfId="0" applyFont="1" applyAlignment="1">
      <alignment horizontal="left"/>
    </xf>
    <xf numFmtId="1" fontId="4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32" applyFont="1" applyAlignment="1">
      <alignment horizontal="right"/>
      <protection/>
    </xf>
    <xf numFmtId="10" fontId="0" fillId="0" borderId="0" xfId="33" applyNumberFormat="1" applyAlignment="1">
      <alignment/>
    </xf>
    <xf numFmtId="10" fontId="0" fillId="0" borderId="0" xfId="33" applyNumberFormat="1" applyFont="1" applyAlignment="1">
      <alignment horizontal="right"/>
    </xf>
    <xf numFmtId="0" fontId="13" fillId="0" borderId="0" xfId="32" applyFont="1" applyAlignment="1">
      <alignment horizontal="right"/>
      <protection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46" xfId="0" applyFont="1" applyBorder="1" applyAlignment="1">
      <alignment horizontal="center"/>
    </xf>
    <xf numFmtId="17" fontId="0" fillId="0" borderId="47" xfId="0" applyNumberFormat="1" applyBorder="1" applyAlignment="1">
      <alignment horizontal="center" vertical="center" wrapText="1"/>
    </xf>
    <xf numFmtId="17" fontId="0" fillId="0" borderId="48" xfId="0" applyNumberFormat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6" fontId="4" fillId="0" borderId="0" xfId="21" applyNumberFormat="1" applyFont="1" applyBorder="1" applyAlignment="1">
      <alignment horizontal="center"/>
    </xf>
    <xf numFmtId="0" fontId="0" fillId="0" borderId="4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</cellXfs>
  <cellStyles count="20">
    <cellStyle name="Normal" xfId="0"/>
    <cellStyle name="Comma" xfId="15"/>
    <cellStyle name="Comma [0]" xfId="16"/>
    <cellStyle name="Comma_disney" xfId="17"/>
    <cellStyle name="Comma_disneydiscl" xfId="18"/>
    <cellStyle name="Comma_ge" xfId="19"/>
    <cellStyle name="Comma_ge97" xfId="20"/>
    <cellStyle name="Currency" xfId="21"/>
    <cellStyle name="Currency [0]" xfId="22"/>
    <cellStyle name="Currency_disney" xfId="23"/>
    <cellStyle name="Currency_disneydiscl" xfId="24"/>
    <cellStyle name="Currency_ge" xfId="25"/>
    <cellStyle name="Currency_ge97" xfId="26"/>
    <cellStyle name="Followed Hyperlink" xfId="27"/>
    <cellStyle name="Hyperlink" xfId="28"/>
    <cellStyle name="Normal_disney" xfId="29"/>
    <cellStyle name="Normal_disneydiscl" xfId="30"/>
    <cellStyle name="Normal_ge" xfId="31"/>
    <cellStyle name="Normal_ge97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Geneva"/>
                <a:ea typeface="Geneva"/>
                <a:cs typeface="Geneva"/>
              </a:rPr>
              <a:t>Historical Long Term Debt ratio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165"/>
          <c:w val="0.7575"/>
          <c:h val="0.835"/>
        </c:manualLayout>
      </c:layout>
      <c:lineChart>
        <c:grouping val="standard"/>
        <c:varyColors val="0"/>
        <c:ser>
          <c:idx val="1"/>
          <c:order val="0"/>
          <c:tx>
            <c:v>Debt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Comments!$G$95:$G$104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Comments!$H$95:$H$104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709456"/>
        <c:axId val="33385105"/>
      </c:lineChart>
      <c:catAx>
        <c:axId val="3709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385105"/>
        <c:crossesAt val="0"/>
        <c:auto val="0"/>
        <c:lblOffset val="100"/>
        <c:noMultiLvlLbl val="0"/>
      </c:catAx>
      <c:valAx>
        <c:axId val="33385105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Debt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9456"/>
        <c:crossesAt val="1"/>
        <c:crossBetween val="midCat"/>
        <c:dispUnits/>
        <c:majorUnit val="0.4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25"/>
          <c:y val="0.0975"/>
          <c:w val="0.785"/>
          <c:h val="0.06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00808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79</xdr:row>
      <xdr:rowOff>142875</xdr:rowOff>
    </xdr:from>
    <xdr:to>
      <xdr:col>5</xdr:col>
      <xdr:colOff>628650</xdr:colOff>
      <xdr:row>96</xdr:row>
      <xdr:rowOff>19050</xdr:rowOff>
    </xdr:to>
    <xdr:graphicFrame>
      <xdr:nvGraphicFramePr>
        <xdr:cNvPr id="1" name="Chart 1"/>
        <xdr:cNvGraphicFramePr/>
      </xdr:nvGraphicFramePr>
      <xdr:xfrm>
        <a:off x="371475" y="12954000"/>
        <a:ext cx="3686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SS\320\student\spr98\young_inves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yr. data"/>
      <sheetName val="WebLinks"/>
      <sheetName val="Questions-Answers"/>
      <sheetName val="Chart"/>
      <sheetName val="CapStrucA"/>
    </sheetNames>
    <sheetDataSet>
      <sheetData sheetId="1">
        <row r="2">
          <cell r="B2" t="str">
            <v>WEB SITE</v>
          </cell>
        </row>
      </sheetData>
      <sheetData sheetId="2">
        <row r="7">
          <cell r="A7" t="str">
            <v>1. Brief summary of GE's operations</v>
          </cell>
        </row>
        <row r="21">
          <cell r="A21" t="str">
            <v>2. News that might be relevant for GE's optimal capital structure.</v>
          </cell>
        </row>
        <row r="38">
          <cell r="A38" t="str">
            <v>3.Results analysis</v>
          </cell>
        </row>
        <row r="49">
          <cell r="A49" t="str">
            <v>Additional questions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workbookViewId="0" topLeftCell="A1">
      <selection activeCell="E10" sqref="E10"/>
    </sheetView>
  </sheetViews>
  <sheetFormatPr defaultColWidth="9.00390625" defaultRowHeight="12.75"/>
  <sheetData>
    <row r="1" ht="12.75">
      <c r="A1" t="s">
        <v>411</v>
      </c>
    </row>
    <row r="2" ht="12.75">
      <c r="A2" t="s">
        <v>412</v>
      </c>
    </row>
    <row r="3" ht="12.75">
      <c r="A3" s="110" t="s">
        <v>380</v>
      </c>
    </row>
    <row r="5" ht="12.75">
      <c r="A5" t="s">
        <v>381</v>
      </c>
    </row>
    <row r="6" ht="12.75">
      <c r="A6" t="s">
        <v>382</v>
      </c>
    </row>
    <row r="7" ht="12.75">
      <c r="A7" t="s">
        <v>383</v>
      </c>
    </row>
    <row r="8" ht="12.75">
      <c r="A8" t="s">
        <v>384</v>
      </c>
    </row>
    <row r="10" ht="12.75">
      <c r="A10" t="s">
        <v>385</v>
      </c>
    </row>
    <row r="11" ht="12.75">
      <c r="A11" t="s">
        <v>386</v>
      </c>
    </row>
    <row r="12" ht="12.75">
      <c r="A12" t="s">
        <v>387</v>
      </c>
    </row>
    <row r="14" ht="12.75">
      <c r="A14" t="s">
        <v>388</v>
      </c>
    </row>
    <row r="15" ht="12.75">
      <c r="A15" t="s">
        <v>389</v>
      </c>
    </row>
    <row r="16" ht="12.75">
      <c r="A16" t="s">
        <v>390</v>
      </c>
    </row>
    <row r="17" ht="12.75">
      <c r="A17" t="s">
        <v>391</v>
      </c>
    </row>
    <row r="19" ht="12.75">
      <c r="A19" t="s">
        <v>392</v>
      </c>
    </row>
    <row r="20" ht="12.75">
      <c r="A20" t="s">
        <v>393</v>
      </c>
    </row>
    <row r="21" ht="12.75">
      <c r="A21" t="s">
        <v>394</v>
      </c>
    </row>
    <row r="22" ht="12.75">
      <c r="A22" t="s">
        <v>395</v>
      </c>
    </row>
    <row r="23" ht="12.75">
      <c r="A23" t="s">
        <v>396</v>
      </c>
    </row>
    <row r="25" ht="12.75">
      <c r="A25" t="s">
        <v>397</v>
      </c>
    </row>
    <row r="27" ht="12.75">
      <c r="A27" t="s">
        <v>398</v>
      </c>
    </row>
    <row r="28" ht="12.75">
      <c r="A28" t="s">
        <v>399</v>
      </c>
    </row>
    <row r="29" ht="12.75">
      <c r="A29" t="s">
        <v>400</v>
      </c>
    </row>
    <row r="30" ht="12.75">
      <c r="A30" t="s">
        <v>401</v>
      </c>
    </row>
    <row r="31" ht="12.75">
      <c r="A31" t="s">
        <v>402</v>
      </c>
    </row>
    <row r="32" ht="12.75">
      <c r="A32" t="s">
        <v>403</v>
      </c>
    </row>
    <row r="33" ht="12.75">
      <c r="A33" t="s">
        <v>404</v>
      </c>
    </row>
    <row r="35" ht="12.75">
      <c r="A35" t="s">
        <v>405</v>
      </c>
    </row>
    <row r="36" ht="12.75">
      <c r="A36" t="s">
        <v>406</v>
      </c>
    </row>
    <row r="38" ht="12.75">
      <c r="A38" t="s">
        <v>407</v>
      </c>
    </row>
    <row r="39" ht="12.75">
      <c r="A39" t="s">
        <v>408</v>
      </c>
    </row>
    <row r="40" ht="12.75">
      <c r="A40" t="s">
        <v>409</v>
      </c>
    </row>
    <row r="41" ht="12.75">
      <c r="A41" t="s">
        <v>410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3:H116"/>
  <sheetViews>
    <sheetView workbookViewId="0" topLeftCell="A1">
      <selection activeCell="A1" sqref="A1"/>
    </sheetView>
  </sheetViews>
  <sheetFormatPr defaultColWidth="9.00390625" defaultRowHeight="12.75"/>
  <sheetData>
    <row r="13" ht="12.75">
      <c r="B13" s="134" t="s">
        <v>344</v>
      </c>
    </row>
    <row r="14" ht="12.75">
      <c r="B14" t="s">
        <v>377</v>
      </c>
    </row>
    <row r="15" ht="12.75">
      <c r="B15" t="s">
        <v>324</v>
      </c>
    </row>
    <row r="16" ht="12.75">
      <c r="B16" t="s">
        <v>325</v>
      </c>
    </row>
    <row r="18" spans="2:3" ht="12.75">
      <c r="B18" s="130" t="s">
        <v>185</v>
      </c>
      <c r="C18" s="125"/>
    </row>
    <row r="19" spans="2:4" ht="12.75">
      <c r="B19" s="133" t="s">
        <v>158</v>
      </c>
      <c r="C19" s="125" t="s">
        <v>186</v>
      </c>
      <c r="D19" t="s">
        <v>326</v>
      </c>
    </row>
    <row r="20" spans="2:4" ht="12.75">
      <c r="B20" s="133" t="s">
        <v>196</v>
      </c>
      <c r="C20" s="125">
        <v>76482000</v>
      </c>
      <c r="D20" s="131">
        <f>+C20/$C$40</f>
        <v>0.25157559570016974</v>
      </c>
    </row>
    <row r="21" spans="2:4" ht="12.75">
      <c r="B21" s="133" t="s">
        <v>197</v>
      </c>
      <c r="C21" s="125">
        <v>8924000</v>
      </c>
      <c r="D21" s="131">
        <f aca="true" t="shared" si="0" ref="D21:D40">+C21/$C$40</f>
        <v>0.02935410444324566</v>
      </c>
    </row>
    <row r="22" spans="2:4" ht="12.75">
      <c r="B22" s="133" t="s">
        <v>198</v>
      </c>
      <c r="C22" s="125">
        <v>3070000</v>
      </c>
      <c r="D22" s="131">
        <f t="shared" si="0"/>
        <v>0.01009828559398971</v>
      </c>
    </row>
    <row r="23" spans="2:4" ht="12.75">
      <c r="B23" s="133" t="s">
        <v>199</v>
      </c>
      <c r="C23" s="125" t="s">
        <v>159</v>
      </c>
      <c r="D23" s="132" t="s">
        <v>159</v>
      </c>
    </row>
    <row r="24" spans="2:4" ht="12.75">
      <c r="B24" s="133" t="s">
        <v>200</v>
      </c>
      <c r="C24" s="125">
        <v>2895000</v>
      </c>
      <c r="D24" s="131">
        <f t="shared" si="0"/>
        <v>0.00952265042169388</v>
      </c>
    </row>
    <row r="25" spans="2:4" ht="12.75">
      <c r="B25" s="133" t="s">
        <v>201</v>
      </c>
      <c r="C25" s="125">
        <v>-70000</v>
      </c>
      <c r="D25" s="131">
        <f t="shared" si="0"/>
        <v>-0.00023025406891833216</v>
      </c>
    </row>
    <row r="26" spans="2:4" ht="12.75">
      <c r="B26" s="133" t="s">
        <v>160</v>
      </c>
      <c r="C26" s="125">
        <v>5895000</v>
      </c>
      <c r="D26" s="131">
        <f t="shared" si="0"/>
        <v>0.01939068194676526</v>
      </c>
    </row>
    <row r="27" spans="2:4" ht="12.75">
      <c r="B27" s="133" t="s">
        <v>202</v>
      </c>
      <c r="C27" s="125">
        <v>0</v>
      </c>
      <c r="D27" s="131">
        <f t="shared" si="0"/>
        <v>0</v>
      </c>
    </row>
    <row r="28" spans="2:4" ht="12.75">
      <c r="B28" s="133" t="s">
        <v>161</v>
      </c>
      <c r="C28" s="125">
        <v>0</v>
      </c>
      <c r="D28" s="131">
        <f t="shared" si="0"/>
        <v>0</v>
      </c>
    </row>
    <row r="29" spans="2:4" ht="12.75">
      <c r="B29" s="133" t="s">
        <v>162</v>
      </c>
      <c r="C29" s="125">
        <v>91301000</v>
      </c>
      <c r="D29" s="131">
        <f t="shared" si="0"/>
        <v>0.30032038209018064</v>
      </c>
    </row>
    <row r="30" spans="2:4" ht="12.75">
      <c r="B30" s="133" t="s">
        <v>203</v>
      </c>
      <c r="C30" s="125">
        <v>10320000</v>
      </c>
      <c r="D30" s="131">
        <f t="shared" si="0"/>
        <v>0.033946028446245544</v>
      </c>
    </row>
    <row r="31" spans="2:4" ht="12.75">
      <c r="B31" s="133" t="s">
        <v>204</v>
      </c>
      <c r="C31" s="125">
        <v>5983000</v>
      </c>
      <c r="D31" s="131">
        <f t="shared" si="0"/>
        <v>0.01968014420483402</v>
      </c>
    </row>
    <row r="32" spans="2:4" ht="12.75">
      <c r="B32" s="133" t="s">
        <v>205</v>
      </c>
      <c r="C32" s="125">
        <v>121454000</v>
      </c>
      <c r="D32" s="131">
        <f t="shared" si="0"/>
        <v>0.3995039669486731</v>
      </c>
    </row>
    <row r="33" spans="2:4" ht="12.75">
      <c r="B33" s="133" t="s">
        <v>206</v>
      </c>
      <c r="C33" s="125">
        <v>55657000</v>
      </c>
      <c r="D33" s="131">
        <f t="shared" si="0"/>
        <v>0.1830750101969659</v>
      </c>
    </row>
    <row r="34" spans="2:4" ht="12.75">
      <c r="B34" s="133" t="s">
        <v>207</v>
      </c>
      <c r="C34" s="125">
        <v>23341000</v>
      </c>
      <c r="D34" s="131">
        <f t="shared" si="0"/>
        <v>0.07677657460889702</v>
      </c>
    </row>
    <row r="35" spans="2:4" ht="12.75">
      <c r="B35" s="133" t="s">
        <v>208</v>
      </c>
      <c r="C35" s="125">
        <v>32316000</v>
      </c>
      <c r="D35" s="131">
        <f t="shared" si="0"/>
        <v>0.1062984355880689</v>
      </c>
    </row>
    <row r="36" spans="2:4" ht="12.75">
      <c r="B36" s="133" t="s">
        <v>209</v>
      </c>
      <c r="C36" s="125">
        <v>9095000</v>
      </c>
      <c r="D36" s="131">
        <f t="shared" si="0"/>
        <v>0.02991658224017473</v>
      </c>
    </row>
    <row r="37" spans="2:4" ht="12.75">
      <c r="B37" s="133" t="s">
        <v>210</v>
      </c>
      <c r="C37" s="125">
        <v>14422000</v>
      </c>
      <c r="D37" s="131">
        <f t="shared" si="0"/>
        <v>0.04743891688485981</v>
      </c>
    </row>
    <row r="38" spans="2:4" ht="12.75">
      <c r="B38" s="133" t="s">
        <v>211</v>
      </c>
      <c r="C38" s="125">
        <v>19121000</v>
      </c>
      <c r="D38" s="131">
        <f t="shared" si="0"/>
        <v>0.06289554359696328</v>
      </c>
    </row>
    <row r="39" spans="2:4" ht="12.75">
      <c r="B39" s="133" t="s">
        <v>212</v>
      </c>
      <c r="C39" s="125">
        <v>42638000</v>
      </c>
      <c r="D39" s="131">
        <f t="shared" si="0"/>
        <v>0.14025104272199782</v>
      </c>
    </row>
    <row r="40" spans="2:4" ht="12.75">
      <c r="B40" s="133" t="s">
        <v>163</v>
      </c>
      <c r="C40" s="125">
        <v>304012000</v>
      </c>
      <c r="D40" s="131">
        <f t="shared" si="0"/>
        <v>1</v>
      </c>
    </row>
    <row r="42" ht="12.75">
      <c r="B42" t="s">
        <v>327</v>
      </c>
    </row>
    <row r="43" ht="12.75">
      <c r="B43" t="s">
        <v>328</v>
      </c>
    </row>
    <row r="44" ht="12.75">
      <c r="B44" t="s">
        <v>329</v>
      </c>
    </row>
    <row r="45" ht="12.75">
      <c r="B45" t="s">
        <v>335</v>
      </c>
    </row>
    <row r="46" ht="12.75">
      <c r="B46" t="s">
        <v>379</v>
      </c>
    </row>
    <row r="47" ht="12.75">
      <c r="B47" t="s">
        <v>333</v>
      </c>
    </row>
    <row r="48" ht="12.75">
      <c r="B48" t="s">
        <v>334</v>
      </c>
    </row>
    <row r="49" ht="12.75">
      <c r="B49" t="s">
        <v>336</v>
      </c>
    </row>
    <row r="50" ht="12.75">
      <c r="B50" t="s">
        <v>337</v>
      </c>
    </row>
    <row r="52" ht="12.75">
      <c r="B52" t="s">
        <v>332</v>
      </c>
    </row>
    <row r="53" ht="12.75">
      <c r="B53" t="s">
        <v>330</v>
      </c>
    </row>
    <row r="54" ht="12.75">
      <c r="B54" t="s">
        <v>374</v>
      </c>
    </row>
    <row r="55" ht="12.75">
      <c r="B55" t="s">
        <v>375</v>
      </c>
    </row>
    <row r="56" spans="2:6" ht="13.5" thickBot="1">
      <c r="B56" s="145" t="s">
        <v>373</v>
      </c>
      <c r="C56" s="145"/>
      <c r="D56" s="145"/>
      <c r="E56" s="145"/>
      <c r="F56" s="145"/>
    </row>
    <row r="57" spans="2:6" ht="12.75">
      <c r="B57" s="146" t="s">
        <v>347</v>
      </c>
      <c r="C57" s="147"/>
      <c r="D57" s="147"/>
      <c r="E57" s="147"/>
      <c r="F57" s="136" t="s">
        <v>348</v>
      </c>
    </row>
    <row r="58" spans="2:8" ht="12.75">
      <c r="B58" s="141" t="s">
        <v>351</v>
      </c>
      <c r="C58" s="142"/>
      <c r="D58" s="142"/>
      <c r="E58" s="142"/>
      <c r="F58" s="137">
        <v>35462</v>
      </c>
      <c r="H58" s="139"/>
    </row>
    <row r="59" spans="2:8" ht="12.75">
      <c r="B59" s="141" t="s">
        <v>352</v>
      </c>
      <c r="C59" s="142"/>
      <c r="D59" s="142"/>
      <c r="E59" s="142"/>
      <c r="F59" s="137">
        <v>35582</v>
      </c>
      <c r="H59" s="139"/>
    </row>
    <row r="60" spans="2:8" ht="12.75">
      <c r="B60" s="141" t="s">
        <v>353</v>
      </c>
      <c r="C60" s="142"/>
      <c r="D60" s="142"/>
      <c r="E60" s="142"/>
      <c r="F60" s="137">
        <v>35674</v>
      </c>
      <c r="H60" s="139"/>
    </row>
    <row r="61" spans="2:8" ht="12.75">
      <c r="B61" s="141" t="s">
        <v>354</v>
      </c>
      <c r="C61" s="142"/>
      <c r="D61" s="142"/>
      <c r="E61" s="142"/>
      <c r="F61" s="137">
        <v>35674</v>
      </c>
      <c r="H61" s="139"/>
    </row>
    <row r="62" spans="2:8" ht="12.75">
      <c r="B62" s="141" t="s">
        <v>356</v>
      </c>
      <c r="C62" s="142"/>
      <c r="D62" s="142"/>
      <c r="E62" s="142"/>
      <c r="F62" s="137">
        <v>35735</v>
      </c>
      <c r="H62" s="139"/>
    </row>
    <row r="63" spans="2:8" ht="12.75">
      <c r="B63" s="141" t="s">
        <v>355</v>
      </c>
      <c r="C63" s="142"/>
      <c r="D63" s="142"/>
      <c r="E63" s="142"/>
      <c r="F63" s="137">
        <v>35796</v>
      </c>
      <c r="H63" s="139"/>
    </row>
    <row r="64" spans="2:8" ht="12.75">
      <c r="B64" s="141" t="s">
        <v>349</v>
      </c>
      <c r="C64" s="142"/>
      <c r="D64" s="142"/>
      <c r="E64" s="142"/>
      <c r="F64" s="137">
        <v>35855</v>
      </c>
      <c r="H64" s="139"/>
    </row>
    <row r="65" spans="2:8" ht="13.5" thickBot="1">
      <c r="B65" s="143" t="s">
        <v>350</v>
      </c>
      <c r="C65" s="144"/>
      <c r="D65" s="144"/>
      <c r="E65" s="144"/>
      <c r="F65" s="138">
        <v>35886</v>
      </c>
      <c r="H65" s="139"/>
    </row>
    <row r="68" ht="12.75">
      <c r="B68" s="134" t="s">
        <v>345</v>
      </c>
    </row>
    <row r="69" ht="12.75">
      <c r="B69" t="s">
        <v>338</v>
      </c>
    </row>
    <row r="70" ht="12.75">
      <c r="B70" t="s">
        <v>339</v>
      </c>
    </row>
    <row r="71" ht="12.75">
      <c r="B71" t="s">
        <v>340</v>
      </c>
    </row>
    <row r="72" ht="12.75">
      <c r="B72" t="s">
        <v>341</v>
      </c>
    </row>
    <row r="73" ht="12.75">
      <c r="B73" t="s">
        <v>342</v>
      </c>
    </row>
    <row r="74" ht="12.75">
      <c r="B74" t="s">
        <v>343</v>
      </c>
    </row>
    <row r="76" ht="12.75">
      <c r="B76" s="134" t="s">
        <v>372</v>
      </c>
    </row>
    <row r="78" ht="12.75">
      <c r="B78" t="s">
        <v>346</v>
      </c>
    </row>
    <row r="79" ht="12.75">
      <c r="B79" t="s">
        <v>365</v>
      </c>
    </row>
    <row r="94" spans="7:8" ht="12.75">
      <c r="G94" t="s">
        <v>358</v>
      </c>
      <c r="H94" t="s">
        <v>359</v>
      </c>
    </row>
    <row r="95" spans="7:8" ht="12.75">
      <c r="G95">
        <v>1988</v>
      </c>
      <c r="H95">
        <f>+'10 year financials'!L$45/('10 year financials'!L$45+'10 year financials'!L$66)</f>
        <v>0.44956480267080007</v>
      </c>
    </row>
    <row r="96" spans="7:8" ht="12.75">
      <c r="G96">
        <v>1989</v>
      </c>
      <c r="H96">
        <f>+'10 year financials'!K$45/('10 year financials'!K$45+'10 year financials'!K$66)</f>
        <v>0.4354054054054054</v>
      </c>
    </row>
    <row r="97" spans="7:8" ht="12.75">
      <c r="G97">
        <v>1990</v>
      </c>
      <c r="H97">
        <f>+'10 year financials'!J$45/('10 year financials'!J$45+'10 year financials'!J$66)</f>
        <v>0.49254499918076916</v>
      </c>
    </row>
    <row r="98" spans="2:8" ht="12.75">
      <c r="B98" t="s">
        <v>364</v>
      </c>
      <c r="G98">
        <v>1991</v>
      </c>
      <c r="H98">
        <f>+'10 year financials'!I$45/('10 year financials'!I$45+'10 year financials'!I$66)</f>
        <v>0.5112588752394905</v>
      </c>
    </row>
    <row r="99" spans="2:8" ht="12.75">
      <c r="B99" t="s">
        <v>360</v>
      </c>
      <c r="G99">
        <v>1992</v>
      </c>
      <c r="H99">
        <f>+'10 year financials'!H$45/('10 year financials'!H$45+'10 year financials'!H$66)</f>
        <v>0.5196273164738405</v>
      </c>
    </row>
    <row r="100" spans="2:8" ht="12.75">
      <c r="B100" t="s">
        <v>361</v>
      </c>
      <c r="G100">
        <v>1993</v>
      </c>
      <c r="H100">
        <f>+'10 year financials'!G$45/('10 year financials'!G$45+'10 year financials'!G$66)</f>
        <v>0.5226087921026361</v>
      </c>
    </row>
    <row r="101" spans="2:8" ht="12.75">
      <c r="B101" t="s">
        <v>362</v>
      </c>
      <c r="G101">
        <v>1994</v>
      </c>
      <c r="H101">
        <f>+'10 year financials'!F$45/('10 year financials'!F$45+'10 year financials'!F$66)</f>
        <v>0.5835779440078276</v>
      </c>
    </row>
    <row r="102" spans="2:8" ht="12.75">
      <c r="B102" t="s">
        <v>363</v>
      </c>
      <c r="G102">
        <v>1995</v>
      </c>
      <c r="H102">
        <f>+'10 year financials'!E$45/('10 year financials'!E$45+'10 year financials'!E$66)</f>
        <v>0.6328066868396249</v>
      </c>
    </row>
    <row r="103" spans="7:8" ht="12.75">
      <c r="G103">
        <v>1996</v>
      </c>
      <c r="H103">
        <f>+'10 year financials'!D$45/('10 year financials'!D$45+'10 year financials'!D$66)</f>
        <v>0.6127334486319692</v>
      </c>
    </row>
    <row r="104" spans="7:8" ht="12.75">
      <c r="G104">
        <v>1997</v>
      </c>
      <c r="H104">
        <f>+'10 year financials'!C45/('10 year financials'!C45+'10 year financials'!C66)</f>
        <v>0.5750546019915845</v>
      </c>
    </row>
    <row r="105" ht="12.75">
      <c r="B105" t="s">
        <v>366</v>
      </c>
    </row>
    <row r="107" spans="2:5" ht="12.75">
      <c r="B107" s="135" t="s">
        <v>357</v>
      </c>
      <c r="C107" t="s">
        <v>368</v>
      </c>
      <c r="D107" t="s">
        <v>367</v>
      </c>
      <c r="E107" t="s">
        <v>369</v>
      </c>
    </row>
    <row r="108" spans="2:5" ht="12.75">
      <c r="B108" s="135">
        <v>1996</v>
      </c>
      <c r="C108">
        <v>1.9</v>
      </c>
      <c r="D108">
        <v>4.4</v>
      </c>
      <c r="E108">
        <f>+C108/D108</f>
        <v>0.43181818181818177</v>
      </c>
    </row>
    <row r="109" spans="2:5" ht="12.75">
      <c r="B109" s="135">
        <v>1995</v>
      </c>
      <c r="C109">
        <v>1.69</v>
      </c>
      <c r="D109">
        <v>3.9</v>
      </c>
      <c r="E109">
        <f>+C109/D109</f>
        <v>0.43333333333333335</v>
      </c>
    </row>
    <row r="110" spans="2:5" ht="12.75">
      <c r="B110" s="135">
        <v>1994</v>
      </c>
      <c r="C110">
        <v>1.49</v>
      </c>
      <c r="D110">
        <v>2.77</v>
      </c>
      <c r="E110">
        <f>+C110/D110</f>
        <v>0.5379061371841155</v>
      </c>
    </row>
    <row r="111" spans="2:5" ht="12.75">
      <c r="B111" s="135">
        <v>1993</v>
      </c>
      <c r="C111">
        <v>1.305</v>
      </c>
      <c r="D111">
        <v>2.52</v>
      </c>
      <c r="E111">
        <f>+C111/D111</f>
        <v>0.5178571428571428</v>
      </c>
    </row>
    <row r="112" spans="2:5" ht="12.75">
      <c r="B112" s="135">
        <v>1992</v>
      </c>
      <c r="C112">
        <v>1.16</v>
      </c>
      <c r="D112">
        <v>2.75</v>
      </c>
      <c r="E112">
        <f>+C112/D112</f>
        <v>0.4218181818181818</v>
      </c>
    </row>
    <row r="114" ht="12.75">
      <c r="B114" t="s">
        <v>370</v>
      </c>
    </row>
    <row r="115" ht="12.75">
      <c r="B115" t="s">
        <v>371</v>
      </c>
    </row>
    <row r="116" ht="12.75">
      <c r="B116" t="s">
        <v>376</v>
      </c>
    </row>
  </sheetData>
  <mergeCells count="10">
    <mergeCell ref="B56:F56"/>
    <mergeCell ref="B57:E57"/>
    <mergeCell ref="B58:E58"/>
    <mergeCell ref="B59:E59"/>
    <mergeCell ref="B64:E64"/>
    <mergeCell ref="B65:E65"/>
    <mergeCell ref="B60:E60"/>
    <mergeCell ref="B61:E61"/>
    <mergeCell ref="B62:E62"/>
    <mergeCell ref="B63:E6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0"/>
  <sheetViews>
    <sheetView showGridLines="0" zoomScale="75" zoomScaleNormal="75" workbookViewId="0" topLeftCell="A14">
      <pane ySplit="2895" topLeftCell="BM81" activePane="topLeft" state="split"/>
      <selection pane="topLeft" activeCell="E27" sqref="E27"/>
      <selection pane="bottomLeft" activeCell="A24" sqref="A24"/>
    </sheetView>
  </sheetViews>
  <sheetFormatPr defaultColWidth="9.00390625" defaultRowHeight="12.75"/>
  <cols>
    <col min="1" max="1" width="12.25390625" style="1" customWidth="1"/>
    <col min="2" max="2" width="14.875" style="118" customWidth="1"/>
    <col min="3" max="3" width="13.125" style="118" customWidth="1"/>
    <col min="4" max="4" width="9.75390625" style="118" customWidth="1"/>
    <col min="5" max="5" width="13.375" style="118" customWidth="1"/>
    <col min="6" max="6" width="14.125" style="118" customWidth="1"/>
    <col min="7" max="7" width="12.125" style="118" customWidth="1"/>
    <col min="8" max="8" width="12.25390625" style="118" customWidth="1"/>
    <col min="9" max="9" width="13.375" style="118" customWidth="1"/>
    <col min="10" max="10" width="10.375" style="118" customWidth="1"/>
    <col min="11" max="11" width="9.75390625" style="118" customWidth="1"/>
    <col min="12" max="16384" width="11.375" style="118" customWidth="1"/>
  </cols>
  <sheetData>
    <row r="2" ht="12.75">
      <c r="B2" s="118" t="s">
        <v>378</v>
      </c>
    </row>
    <row r="4" ht="12.75">
      <c r="A4" s="109" t="s">
        <v>0</v>
      </c>
    </row>
    <row r="5" s="110" customFormat="1" ht="12.75">
      <c r="A5" s="109" t="s">
        <v>1</v>
      </c>
    </row>
    <row r="6" s="110" customFormat="1" ht="12.75">
      <c r="A6" s="109" t="s">
        <v>2</v>
      </c>
    </row>
    <row r="7" ht="19.5" customHeight="1">
      <c r="A7" s="1" t="s">
        <v>3</v>
      </c>
    </row>
    <row r="8" spans="1:7" ht="19.5" customHeight="1">
      <c r="A8" s="1" t="s">
        <v>4</v>
      </c>
      <c r="E8" s="2" t="s">
        <v>184</v>
      </c>
      <c r="F8" s="3"/>
      <c r="G8" s="4"/>
    </row>
    <row r="9" spans="5:7" ht="19.5" customHeight="1">
      <c r="E9" s="5"/>
      <c r="F9" s="5"/>
      <c r="G9" s="5"/>
    </row>
    <row r="10" spans="1:7" ht="19.5" customHeight="1">
      <c r="A10" s="6" t="s">
        <v>5</v>
      </c>
      <c r="E10" s="5"/>
      <c r="F10" s="7"/>
      <c r="G10" s="7"/>
    </row>
    <row r="11" spans="1:7" ht="19.5" customHeight="1">
      <c r="A11" s="1" t="s">
        <v>6</v>
      </c>
      <c r="E11" s="114">
        <f>+'10 year financials'!C78+'10 year financials'!C83+'10 year financials'!C74</f>
        <v>25747000</v>
      </c>
      <c r="F11" s="7" t="s">
        <v>7</v>
      </c>
      <c r="G11" s="5"/>
    </row>
    <row r="12" spans="1:7" ht="19.5" customHeight="1">
      <c r="A12" s="1" t="s">
        <v>8</v>
      </c>
      <c r="E12" s="114">
        <f>+'10 year financials'!C111</f>
        <v>4082000</v>
      </c>
      <c r="F12" s="7" t="s">
        <v>7</v>
      </c>
      <c r="G12" s="5"/>
    </row>
    <row r="13" spans="1:7" ht="19.5" customHeight="1">
      <c r="A13" s="1" t="s">
        <v>9</v>
      </c>
      <c r="E13" s="114">
        <f>+'10 year financials'!C133+'10 year financials'!C134+'10 year financials'!C135</f>
        <v>15531000</v>
      </c>
      <c r="F13" s="7" t="s">
        <v>7</v>
      </c>
      <c r="G13" s="5"/>
    </row>
    <row r="14" spans="1:7" ht="19.5" customHeight="1">
      <c r="A14" s="1" t="s">
        <v>10</v>
      </c>
      <c r="E14" s="111">
        <f>+'10 year financials'!C85</f>
        <v>8384000</v>
      </c>
      <c r="F14" s="7" t="s">
        <v>7</v>
      </c>
      <c r="G14" s="5"/>
    </row>
    <row r="15" spans="1:7" ht="19.5" customHeight="1">
      <c r="A15" s="1" t="s">
        <v>11</v>
      </c>
      <c r="E15" s="9" t="s">
        <v>58</v>
      </c>
      <c r="F15" s="5" t="s">
        <v>13</v>
      </c>
      <c r="G15" s="127" t="s">
        <v>320</v>
      </c>
    </row>
    <row r="16" spans="1:7" ht="19.5" customHeight="1">
      <c r="A16" s="1" t="s">
        <v>14</v>
      </c>
      <c r="E16" s="10">
        <v>0.063</v>
      </c>
      <c r="F16" s="11" t="s">
        <v>15</v>
      </c>
      <c r="G16" s="5"/>
    </row>
    <row r="17" spans="1:7" ht="19.5" customHeight="1">
      <c r="A17" s="1" t="s">
        <v>16</v>
      </c>
      <c r="E17" s="10">
        <v>0.34</v>
      </c>
      <c r="F17" s="5" t="s">
        <v>17</v>
      </c>
      <c r="G17" s="5"/>
    </row>
    <row r="18" spans="5:7" ht="19.5" customHeight="1">
      <c r="E18" s="5"/>
      <c r="F18" s="5"/>
      <c r="G18" s="5"/>
    </row>
    <row r="19" spans="1:7" ht="19.5" customHeight="1">
      <c r="A19" s="1" t="s">
        <v>18</v>
      </c>
      <c r="E19" s="12">
        <v>3260000</v>
      </c>
      <c r="F19" s="5" t="s">
        <v>19</v>
      </c>
      <c r="G19" s="127" t="s">
        <v>318</v>
      </c>
    </row>
    <row r="20" spans="1:7" ht="19.5" customHeight="1">
      <c r="A20" s="1" t="s">
        <v>20</v>
      </c>
      <c r="E20" s="8">
        <v>85.125</v>
      </c>
      <c r="F20" s="5" t="s">
        <v>7</v>
      </c>
      <c r="G20" s="127" t="s">
        <v>318</v>
      </c>
    </row>
    <row r="21" spans="1:7" ht="19.5" customHeight="1">
      <c r="A21" s="1" t="s">
        <v>21</v>
      </c>
      <c r="E21" s="12">
        <v>1.23</v>
      </c>
      <c r="F21" s="5"/>
      <c r="G21" s="127" t="s">
        <v>318</v>
      </c>
    </row>
    <row r="22" spans="1:7" ht="19.5" customHeight="1">
      <c r="A22" s="1" t="s">
        <v>22</v>
      </c>
      <c r="E22" s="8">
        <v>46600000</v>
      </c>
      <c r="F22" s="5" t="s">
        <v>7</v>
      </c>
      <c r="G22" s="127" t="s">
        <v>319</v>
      </c>
    </row>
    <row r="23" spans="1:7" ht="19.5" customHeight="1">
      <c r="A23" s="1" t="s">
        <v>23</v>
      </c>
      <c r="E23" s="12" t="s">
        <v>24</v>
      </c>
      <c r="F23" s="5" t="s">
        <v>25</v>
      </c>
      <c r="G23" s="5"/>
    </row>
    <row r="24" spans="1:7" ht="19.5" customHeight="1">
      <c r="A24" s="1" t="s">
        <v>26</v>
      </c>
      <c r="E24" s="8"/>
      <c r="F24" s="5" t="s">
        <v>7</v>
      </c>
      <c r="G24" s="5"/>
    </row>
    <row r="25" spans="1:7" ht="19.5" customHeight="1">
      <c r="A25" s="1" t="s">
        <v>27</v>
      </c>
      <c r="E25" s="8" t="s">
        <v>28</v>
      </c>
      <c r="F25" s="5"/>
      <c r="G25" s="5"/>
    </row>
    <row r="26" spans="1:7" ht="19.5" customHeight="1">
      <c r="A26" s="1" t="s">
        <v>29</v>
      </c>
      <c r="E26" s="13">
        <v>50</v>
      </c>
      <c r="F26" s="5" t="s">
        <v>30</v>
      </c>
      <c r="G26" s="127" t="s">
        <v>331</v>
      </c>
    </row>
    <row r="27" spans="1:7" ht="19.5" customHeight="1">
      <c r="A27" s="1" t="s">
        <v>31</v>
      </c>
      <c r="E27" s="14"/>
      <c r="F27" s="5"/>
      <c r="G27" s="5"/>
    </row>
    <row r="28" spans="5:7" ht="19.5" customHeight="1">
      <c r="E28" s="14"/>
      <c r="F28" s="5"/>
      <c r="G28" s="5"/>
    </row>
    <row r="29" spans="1:7" ht="19.5" customHeight="1">
      <c r="A29" s="6" t="s">
        <v>32</v>
      </c>
      <c r="E29" s="5"/>
      <c r="F29" s="5"/>
      <c r="G29" s="5"/>
    </row>
    <row r="30" spans="1:7" ht="19.5" customHeight="1">
      <c r="A30" s="1" t="s">
        <v>33</v>
      </c>
      <c r="E30" s="15">
        <v>0.05092</v>
      </c>
      <c r="F30" s="5" t="s">
        <v>17</v>
      </c>
      <c r="G30" s="127" t="s">
        <v>322</v>
      </c>
    </row>
    <row r="31" spans="1:7" ht="19.5" customHeight="1">
      <c r="A31" s="1" t="s">
        <v>34</v>
      </c>
      <c r="E31" s="15">
        <v>0.05949</v>
      </c>
      <c r="F31" s="5" t="s">
        <v>17</v>
      </c>
      <c r="G31" s="127" t="s">
        <v>321</v>
      </c>
    </row>
    <row r="32" spans="1:7" ht="19.5" customHeight="1">
      <c r="A32" s="1" t="s">
        <v>35</v>
      </c>
      <c r="E32" s="5"/>
      <c r="F32" s="12" t="s">
        <v>36</v>
      </c>
      <c r="G32" s="5" t="s">
        <v>37</v>
      </c>
    </row>
    <row r="33" spans="1:7" ht="19.5" customHeight="1">
      <c r="A33" s="1" t="s">
        <v>38</v>
      </c>
      <c r="E33" s="15">
        <v>0.055</v>
      </c>
      <c r="F33" s="5" t="s">
        <v>17</v>
      </c>
      <c r="G33" s="5"/>
    </row>
    <row r="34" ht="19.5" customHeight="1"/>
    <row r="35" ht="19.5" customHeight="1">
      <c r="A35" s="6" t="s">
        <v>39</v>
      </c>
    </row>
    <row r="36" ht="19.5" customHeight="1">
      <c r="A36" s="16" t="s">
        <v>40</v>
      </c>
    </row>
    <row r="37" spans="1:4" ht="19.5" customHeight="1">
      <c r="A37" s="17" t="s">
        <v>41</v>
      </c>
      <c r="B37" s="17"/>
      <c r="C37" s="6"/>
      <c r="D37" s="6"/>
    </row>
    <row r="38" spans="1:5" ht="19.5" customHeight="1">
      <c r="A38" s="18" t="s">
        <v>42</v>
      </c>
      <c r="B38" s="18" t="s">
        <v>43</v>
      </c>
      <c r="C38" s="18" t="s">
        <v>44</v>
      </c>
      <c r="D38" s="19" t="s">
        <v>45</v>
      </c>
      <c r="E38" s="119"/>
    </row>
    <row r="39" spans="1:5" ht="19.5" customHeight="1">
      <c r="A39" s="5">
        <v>-100000</v>
      </c>
      <c r="B39" s="5">
        <v>0.2499999</v>
      </c>
      <c r="C39" s="5" t="s">
        <v>46</v>
      </c>
      <c r="D39" s="20">
        <v>0.12</v>
      </c>
      <c r="E39" s="119"/>
    </row>
    <row r="40" spans="1:5" ht="19.5" customHeight="1">
      <c r="A40" s="5">
        <v>0.25</v>
      </c>
      <c r="B40" s="5">
        <v>0.6699999</v>
      </c>
      <c r="C40" s="5" t="s">
        <v>47</v>
      </c>
      <c r="D40" s="20">
        <v>0.09</v>
      </c>
      <c r="E40" s="119"/>
    </row>
    <row r="41" spans="1:5" ht="19.5" customHeight="1">
      <c r="A41" s="5">
        <v>0.67</v>
      </c>
      <c r="B41" s="5">
        <v>0.8699999</v>
      </c>
      <c r="C41" s="5" t="s">
        <v>48</v>
      </c>
      <c r="D41" s="20">
        <v>0.075</v>
      </c>
      <c r="E41" s="119"/>
    </row>
    <row r="42" spans="1:5" ht="19.5" customHeight="1">
      <c r="A42" s="5">
        <v>0.87</v>
      </c>
      <c r="B42" s="5">
        <v>1.2699999</v>
      </c>
      <c r="C42" s="5" t="s">
        <v>49</v>
      </c>
      <c r="D42" s="20">
        <v>0.06</v>
      </c>
      <c r="E42" s="119"/>
    </row>
    <row r="43" spans="1:5" ht="19.5" customHeight="1">
      <c r="A43" s="5">
        <v>1.27</v>
      </c>
      <c r="B43" s="5">
        <v>1.5699999</v>
      </c>
      <c r="C43" s="5" t="s">
        <v>50</v>
      </c>
      <c r="D43" s="20">
        <v>0.05</v>
      </c>
      <c r="E43" s="119"/>
    </row>
    <row r="44" spans="1:5" ht="19.5" customHeight="1">
      <c r="A44" s="5">
        <v>1.57</v>
      </c>
      <c r="B44" s="5">
        <v>1.8699999</v>
      </c>
      <c r="C44" s="5" t="s">
        <v>51</v>
      </c>
      <c r="D44" s="20">
        <v>0.04</v>
      </c>
      <c r="E44" s="119"/>
    </row>
    <row r="45" spans="1:5" ht="19.5" customHeight="1">
      <c r="A45" s="5">
        <v>1.87</v>
      </c>
      <c r="B45" s="5">
        <v>2.1699999</v>
      </c>
      <c r="C45" s="5" t="s">
        <v>52</v>
      </c>
      <c r="D45" s="20">
        <v>0.03</v>
      </c>
      <c r="E45" s="119"/>
    </row>
    <row r="46" spans="1:5" ht="19.5" customHeight="1">
      <c r="A46" s="5">
        <v>2.17</v>
      </c>
      <c r="B46" s="5">
        <v>2.7599999</v>
      </c>
      <c r="C46" s="5" t="s">
        <v>53</v>
      </c>
      <c r="D46" s="20">
        <v>0.025</v>
      </c>
      <c r="E46" s="119"/>
    </row>
    <row r="47" spans="1:5" ht="19.5" customHeight="1">
      <c r="A47" s="5">
        <v>2.76</v>
      </c>
      <c r="B47" s="5">
        <v>3.2899999</v>
      </c>
      <c r="C47" s="5" t="s">
        <v>54</v>
      </c>
      <c r="D47" s="20">
        <v>0.02</v>
      </c>
      <c r="E47" s="119"/>
    </row>
    <row r="48" spans="1:5" ht="19.5" customHeight="1">
      <c r="A48" s="5">
        <v>3.29</v>
      </c>
      <c r="B48" s="5">
        <v>4.4899999</v>
      </c>
      <c r="C48" s="5" t="s">
        <v>55</v>
      </c>
      <c r="D48" s="20">
        <v>0.015</v>
      </c>
      <c r="E48" s="119"/>
    </row>
    <row r="49" spans="1:5" ht="19.5" customHeight="1">
      <c r="A49" s="5">
        <v>4.49</v>
      </c>
      <c r="B49" s="5">
        <v>5.649999</v>
      </c>
      <c r="C49" s="5" t="s">
        <v>56</v>
      </c>
      <c r="D49" s="20">
        <v>0.0125</v>
      </c>
      <c r="E49" s="119"/>
    </row>
    <row r="50" spans="1:5" ht="19.5" customHeight="1">
      <c r="A50" s="5">
        <v>5.65</v>
      </c>
      <c r="B50" s="5">
        <v>6.849999</v>
      </c>
      <c r="C50" s="5" t="s">
        <v>57</v>
      </c>
      <c r="D50" s="20">
        <v>0.01</v>
      </c>
      <c r="E50" s="119"/>
    </row>
    <row r="51" spans="1:5" ht="19.5" customHeight="1">
      <c r="A51" s="5">
        <v>6.85</v>
      </c>
      <c r="B51" s="5">
        <v>9.349999</v>
      </c>
      <c r="C51" s="5" t="s">
        <v>12</v>
      </c>
      <c r="D51" s="20">
        <v>0.007</v>
      </c>
      <c r="E51" s="119"/>
    </row>
    <row r="52" spans="1:5" ht="19.5" customHeight="1">
      <c r="A52" s="21">
        <v>9.65</v>
      </c>
      <c r="B52" s="5">
        <v>100000</v>
      </c>
      <c r="C52" s="5" t="s">
        <v>58</v>
      </c>
      <c r="D52" s="20">
        <v>0.003</v>
      </c>
      <c r="E52" s="119"/>
    </row>
    <row r="53" spans="1:5" ht="19.5" customHeight="1">
      <c r="A53" s="18"/>
      <c r="B53" s="18"/>
      <c r="C53" s="18"/>
      <c r="D53" s="18"/>
      <c r="E53" s="119"/>
    </row>
    <row r="54" spans="1:5" ht="19.5" customHeight="1">
      <c r="A54" s="11" t="s">
        <v>59</v>
      </c>
      <c r="B54" s="18"/>
      <c r="C54" s="18"/>
      <c r="D54" s="12" t="s">
        <v>24</v>
      </c>
      <c r="E54" s="5" t="s">
        <v>25</v>
      </c>
    </row>
    <row r="55" spans="1:5" ht="19.5" customHeight="1">
      <c r="A55" s="18"/>
      <c r="B55" s="18"/>
      <c r="C55" s="18"/>
      <c r="D55" s="18"/>
      <c r="E55" s="119"/>
    </row>
    <row r="56" spans="1:5" ht="19.5" customHeight="1">
      <c r="A56" s="22" t="s">
        <v>60</v>
      </c>
      <c r="B56" s="18"/>
      <c r="C56" s="18"/>
      <c r="D56" s="18"/>
      <c r="E56" s="119"/>
    </row>
    <row r="57" spans="1:5" ht="19.5" customHeight="1">
      <c r="A57" s="17" t="s">
        <v>41</v>
      </c>
      <c r="B57" s="17"/>
      <c r="C57" s="6"/>
      <c r="D57" s="6"/>
      <c r="E57" s="119"/>
    </row>
    <row r="58" spans="1:5" ht="19.5" customHeight="1">
      <c r="A58" s="18" t="s">
        <v>42</v>
      </c>
      <c r="B58" s="18" t="s">
        <v>43</v>
      </c>
      <c r="C58" s="18" t="s">
        <v>44</v>
      </c>
      <c r="D58" s="18" t="s">
        <v>61</v>
      </c>
      <c r="E58" s="119"/>
    </row>
    <row r="59" spans="1:5" ht="19.5" customHeight="1">
      <c r="A59" s="5">
        <v>-100000</v>
      </c>
      <c r="B59" s="5">
        <v>0.2499999</v>
      </c>
      <c r="C59" s="5" t="s">
        <v>46</v>
      </c>
      <c r="D59" s="20">
        <v>0.12</v>
      </c>
      <c r="E59" s="119"/>
    </row>
    <row r="60" spans="1:5" ht="19.5" customHeight="1">
      <c r="A60" s="5">
        <v>0.25</v>
      </c>
      <c r="B60" s="5">
        <v>0.6699999</v>
      </c>
      <c r="C60" s="5" t="s">
        <v>47</v>
      </c>
      <c r="D60" s="20">
        <v>0.09</v>
      </c>
      <c r="E60" s="119"/>
    </row>
    <row r="61" spans="1:5" ht="19.5" customHeight="1">
      <c r="A61" s="5">
        <v>0.67</v>
      </c>
      <c r="B61" s="5">
        <v>0.8699999</v>
      </c>
      <c r="C61" s="5" t="s">
        <v>48</v>
      </c>
      <c r="D61" s="20">
        <v>0.075</v>
      </c>
      <c r="E61" s="119"/>
    </row>
    <row r="62" spans="1:4" ht="19.5" customHeight="1">
      <c r="A62" s="5">
        <v>0.87</v>
      </c>
      <c r="B62" s="5">
        <v>1.2699999</v>
      </c>
      <c r="C62" s="5" t="s">
        <v>49</v>
      </c>
      <c r="D62" s="20">
        <v>0.06</v>
      </c>
    </row>
    <row r="63" spans="1:4" ht="19.5" customHeight="1">
      <c r="A63" s="5">
        <v>1.27</v>
      </c>
      <c r="B63" s="5">
        <v>1.5699999</v>
      </c>
      <c r="C63" s="5" t="s">
        <v>50</v>
      </c>
      <c r="D63" s="20">
        <v>0.05</v>
      </c>
    </row>
    <row r="64" spans="1:4" ht="19.5" customHeight="1">
      <c r="A64" s="5">
        <v>1.57</v>
      </c>
      <c r="B64" s="5">
        <v>1.8699999</v>
      </c>
      <c r="C64" s="5" t="s">
        <v>51</v>
      </c>
      <c r="D64" s="20">
        <v>0.04</v>
      </c>
    </row>
    <row r="65" spans="1:4" ht="19.5" customHeight="1">
      <c r="A65" s="5">
        <v>1.87</v>
      </c>
      <c r="B65" s="5">
        <v>2.1699999</v>
      </c>
      <c r="C65" s="5" t="s">
        <v>52</v>
      </c>
      <c r="D65" s="20">
        <v>0.03</v>
      </c>
    </row>
    <row r="66" spans="1:4" ht="19.5" customHeight="1">
      <c r="A66" s="5">
        <v>2.17</v>
      </c>
      <c r="B66" s="5">
        <v>2.7599999</v>
      </c>
      <c r="C66" s="5" t="s">
        <v>53</v>
      </c>
      <c r="D66" s="20">
        <v>0.025</v>
      </c>
    </row>
    <row r="67" spans="1:4" ht="19.5" customHeight="1">
      <c r="A67" s="5">
        <v>2.76</v>
      </c>
      <c r="B67" s="5">
        <v>3.2899999</v>
      </c>
      <c r="C67" s="5" t="s">
        <v>54</v>
      </c>
      <c r="D67" s="20">
        <v>0.02</v>
      </c>
    </row>
    <row r="68" spans="1:4" ht="19.5" customHeight="1">
      <c r="A68" s="5">
        <v>3.29</v>
      </c>
      <c r="B68" s="5">
        <v>4.4899999</v>
      </c>
      <c r="C68" s="5" t="s">
        <v>55</v>
      </c>
      <c r="D68" s="20">
        <v>0.015</v>
      </c>
    </row>
    <row r="69" spans="1:4" ht="19.5" customHeight="1">
      <c r="A69" s="5">
        <v>4.49</v>
      </c>
      <c r="B69" s="5">
        <v>5.649999</v>
      </c>
      <c r="C69" s="5" t="s">
        <v>56</v>
      </c>
      <c r="D69" s="20">
        <v>0.0125</v>
      </c>
    </row>
    <row r="70" spans="1:4" ht="19.5" customHeight="1">
      <c r="A70" s="5">
        <v>5.65</v>
      </c>
      <c r="B70" s="5">
        <v>6.849999</v>
      </c>
      <c r="C70" s="5" t="s">
        <v>57</v>
      </c>
      <c r="D70" s="20">
        <v>0.01</v>
      </c>
    </row>
    <row r="71" spans="1:4" ht="19.5" customHeight="1">
      <c r="A71" s="5">
        <v>6.85</v>
      </c>
      <c r="B71" s="5">
        <v>9.349999</v>
      </c>
      <c r="C71" s="5" t="s">
        <v>12</v>
      </c>
      <c r="D71" s="20">
        <v>0.007</v>
      </c>
    </row>
    <row r="72" spans="1:4" ht="19.5" customHeight="1">
      <c r="A72" s="21">
        <v>9.65</v>
      </c>
      <c r="B72" s="5">
        <v>100000</v>
      </c>
      <c r="C72" s="5" t="s">
        <v>58</v>
      </c>
      <c r="D72" s="20">
        <v>0.003</v>
      </c>
    </row>
    <row r="73" spans="1:4" ht="19.5" customHeight="1">
      <c r="A73" s="21"/>
      <c r="B73" s="5"/>
      <c r="C73" s="5"/>
      <c r="D73" s="20"/>
    </row>
    <row r="74" spans="1:4" ht="19.5" customHeight="1">
      <c r="A74" s="23" t="s">
        <v>62</v>
      </c>
      <c r="B74" s="5"/>
      <c r="C74" s="5"/>
      <c r="D74" s="20"/>
    </row>
    <row r="75" spans="1:4" ht="19.5" customHeight="1">
      <c r="A75" s="23" t="s">
        <v>63</v>
      </c>
      <c r="B75" s="5"/>
      <c r="C75" s="5"/>
      <c r="D75" s="20"/>
    </row>
    <row r="76" spans="1:9" ht="19.5" customHeight="1">
      <c r="A76" s="24" t="s">
        <v>64</v>
      </c>
      <c r="B76" s="5"/>
      <c r="C76" s="5"/>
      <c r="D76" s="20"/>
      <c r="G76" s="12" t="s">
        <v>28</v>
      </c>
      <c r="H76" s="5" t="s">
        <v>25</v>
      </c>
      <c r="I76" s="129" t="s">
        <v>323</v>
      </c>
    </row>
    <row r="77" spans="1:8" ht="19.5" customHeight="1">
      <c r="A77" s="23" t="s">
        <v>65</v>
      </c>
      <c r="B77" s="5"/>
      <c r="C77" s="5"/>
      <c r="D77" s="20"/>
      <c r="G77" s="7"/>
      <c r="H77" s="5"/>
    </row>
    <row r="78" spans="1:8" ht="19.5" customHeight="1">
      <c r="A78" s="1" t="s">
        <v>66</v>
      </c>
      <c r="G78" s="12" t="s">
        <v>24</v>
      </c>
      <c r="H78" s="5" t="s">
        <v>25</v>
      </c>
    </row>
    <row r="80" spans="4:8" s="1" customFormat="1" ht="12.75">
      <c r="D80" s="16" t="s">
        <v>67</v>
      </c>
      <c r="H80" s="16" t="str">
        <f>E8</f>
        <v>GE</v>
      </c>
    </row>
    <row r="81" s="1" customFormat="1" ht="12.75">
      <c r="A81" s="16" t="s">
        <v>68</v>
      </c>
    </row>
    <row r="82" spans="1:9" s="6" customFormat="1" ht="12.75">
      <c r="A82" s="25" t="s">
        <v>69</v>
      </c>
      <c r="B82" s="26"/>
      <c r="C82" s="26"/>
      <c r="D82" s="26" t="s">
        <v>70</v>
      </c>
      <c r="E82" s="26"/>
      <c r="F82" s="26"/>
      <c r="G82" s="26" t="s">
        <v>71</v>
      </c>
      <c r="H82" s="26"/>
      <c r="I82" s="27"/>
    </row>
    <row r="83" spans="1:9" s="1" customFormat="1" ht="12.75">
      <c r="A83" s="28" t="s">
        <v>72</v>
      </c>
      <c r="B83" s="29"/>
      <c r="C83" s="140">
        <f>E19*E20</f>
        <v>277507500</v>
      </c>
      <c r="D83" s="29" t="s">
        <v>73</v>
      </c>
      <c r="E83" s="29"/>
      <c r="F83" s="7">
        <f>E21</f>
        <v>1.23</v>
      </c>
      <c r="G83" s="29" t="s">
        <v>74</v>
      </c>
      <c r="H83" s="29"/>
      <c r="I83" s="31">
        <f>E11</f>
        <v>25747000</v>
      </c>
    </row>
    <row r="84" spans="1:9" s="1" customFormat="1" ht="12.75">
      <c r="A84" s="28" t="s">
        <v>75</v>
      </c>
      <c r="B84" s="29"/>
      <c r="C84" s="30">
        <f>IF(E23="Yes",E24,IF(E25="Yes",E14*(1-(1+E16)^(0-E26))/E16+E22/(1+E16)^E26,E22))</f>
        <v>129003223.4435162</v>
      </c>
      <c r="D84" s="29" t="s">
        <v>76</v>
      </c>
      <c r="E84" s="29"/>
      <c r="F84" s="7" t="str">
        <f>E15</f>
        <v>AAA</v>
      </c>
      <c r="G84" s="29" t="s">
        <v>77</v>
      </c>
      <c r="H84" s="29"/>
      <c r="I84" s="31">
        <f>E12</f>
        <v>4082000</v>
      </c>
    </row>
    <row r="85" spans="1:9" s="1" customFormat="1" ht="12.75">
      <c r="A85" s="28" t="s">
        <v>78</v>
      </c>
      <c r="B85" s="29"/>
      <c r="C85" s="7">
        <f>E19</f>
        <v>3260000</v>
      </c>
      <c r="D85" s="29" t="s">
        <v>79</v>
      </c>
      <c r="E85" s="29"/>
      <c r="F85" s="32">
        <f>E30</f>
        <v>0.05092</v>
      </c>
      <c r="G85" s="29" t="s">
        <v>80</v>
      </c>
      <c r="H85" s="29"/>
      <c r="I85" s="33">
        <f>E17</f>
        <v>0.34</v>
      </c>
    </row>
    <row r="86" spans="1:9" s="1" customFormat="1" ht="12.75">
      <c r="A86" s="28" t="s">
        <v>81</v>
      </c>
      <c r="B86" s="29"/>
      <c r="C86" s="32">
        <f>IF(F32="ST",E30,E31)</f>
        <v>0.05949</v>
      </c>
      <c r="D86" s="29" t="s">
        <v>82</v>
      </c>
      <c r="E86" s="29"/>
      <c r="F86" s="32">
        <f>E31</f>
        <v>0.05949</v>
      </c>
      <c r="G86" s="29" t="s">
        <v>83</v>
      </c>
      <c r="H86" s="29"/>
      <c r="I86" s="34">
        <f>E13</f>
        <v>15531000</v>
      </c>
    </row>
    <row r="87" spans="1:9" s="1" customFormat="1" ht="12.75">
      <c r="A87" s="35" t="s">
        <v>84</v>
      </c>
      <c r="B87" s="36"/>
      <c r="C87" s="37">
        <f>E33</f>
        <v>0.055</v>
      </c>
      <c r="D87" s="36" t="s">
        <v>85</v>
      </c>
      <c r="E87" s="36"/>
      <c r="F87" s="37">
        <f>E16</f>
        <v>0.063</v>
      </c>
      <c r="G87" s="36" t="s">
        <v>86</v>
      </c>
      <c r="H87" s="36"/>
      <c r="I87" s="38">
        <f>E14</f>
        <v>8384000</v>
      </c>
    </row>
    <row r="88" s="1" customFormat="1" ht="14.25" thickBot="1" thickTop="1"/>
    <row r="89" spans="3:7" s="1" customFormat="1" ht="12.75">
      <c r="C89" s="39" t="s">
        <v>87</v>
      </c>
      <c r="D89" s="40"/>
      <c r="E89" s="40"/>
      <c r="F89" s="40"/>
      <c r="G89" s="41"/>
    </row>
    <row r="90" spans="3:7" s="6" customFormat="1" ht="12.75">
      <c r="C90" s="42"/>
      <c r="D90" s="43"/>
      <c r="E90" s="44" t="s">
        <v>88</v>
      </c>
      <c r="F90" s="44" t="s">
        <v>89</v>
      </c>
      <c r="G90" s="45" t="s">
        <v>90</v>
      </c>
    </row>
    <row r="91" spans="3:7" s="1" customFormat="1" ht="12.75">
      <c r="C91" s="28" t="s">
        <v>91</v>
      </c>
      <c r="D91" s="29"/>
      <c r="E91" s="46">
        <f>C84/(C84+C83)</f>
        <v>0.3173427317014945</v>
      </c>
      <c r="F91" s="46">
        <f>B159*B150+C159*C150+D159*D150+E159*E150+F159*F150+G159*G150+H159*H150+I159*I150+J159*J150+K159*K150</f>
        <v>0.8</v>
      </c>
      <c r="G91" s="47">
        <f>F91-E91</f>
        <v>0.4826572682985055</v>
      </c>
    </row>
    <row r="92" spans="3:7" s="1" customFormat="1" ht="12.75">
      <c r="C92" s="28"/>
      <c r="D92" s="29"/>
      <c r="E92" s="48"/>
      <c r="F92" s="48"/>
      <c r="G92" s="49"/>
    </row>
    <row r="93" spans="3:7" s="1" customFormat="1" ht="12.75">
      <c r="C93" s="28" t="s">
        <v>92</v>
      </c>
      <c r="D93" s="29"/>
      <c r="E93" s="48">
        <f>F83</f>
        <v>1.23</v>
      </c>
      <c r="F93" s="50">
        <f>B159*B129+C159*C129+D159*D129+E159*E129+F159*F129+G159*G129+H159*H129+I159*I129+J159*J129+K159*K129</f>
        <v>3.487883288630647</v>
      </c>
      <c r="G93" s="51">
        <f>F93-E93</f>
        <v>2.257883288630647</v>
      </c>
    </row>
    <row r="94" spans="3:7" s="1" customFormat="1" ht="12.75">
      <c r="C94" s="28" t="s">
        <v>93</v>
      </c>
      <c r="D94" s="29"/>
      <c r="E94" s="46">
        <f>C86+F83*C87</f>
        <v>0.12714</v>
      </c>
      <c r="F94" s="46">
        <f>B159*B154+C159*C154+D159*D154+E159*E154+F159*F154+G159*G154+H159*H154+I159*I154+J159*J154+K159*K154</f>
        <v>0.2513235808746856</v>
      </c>
      <c r="G94" s="47">
        <f>F94-E94</f>
        <v>0.12418358087468559</v>
      </c>
    </row>
    <row r="95" spans="3:7" s="1" customFormat="1" ht="12.75">
      <c r="C95" s="28"/>
      <c r="D95" s="29"/>
      <c r="E95" s="48"/>
      <c r="F95" s="48"/>
      <c r="G95" s="47"/>
    </row>
    <row r="96" spans="3:7" s="1" customFormat="1" ht="12.75">
      <c r="C96" s="28" t="s">
        <v>94</v>
      </c>
      <c r="D96" s="29"/>
      <c r="E96" s="46">
        <f>IF(G78="Yes",K108*(1-I85),F87*(1-I85))</f>
        <v>0.04157999999999999</v>
      </c>
      <c r="F96" s="46">
        <f>B159*B156+C159*C156+D159*D156+E159*E156+F159*F156+G159*G156+H159*H156+I159*I156+J159*J156+K159*K156</f>
        <v>0.047349613505879934</v>
      </c>
      <c r="G96" s="47">
        <f>F96-E96</f>
        <v>0.005769613505879942</v>
      </c>
    </row>
    <row r="97" spans="3:7" s="1" customFormat="1" ht="12.75">
      <c r="C97" s="28"/>
      <c r="D97" s="29"/>
      <c r="E97" s="46"/>
      <c r="F97" s="46"/>
      <c r="G97" s="47"/>
    </row>
    <row r="98" spans="3:7" s="1" customFormat="1" ht="12.75">
      <c r="C98" s="28" t="s">
        <v>95</v>
      </c>
      <c r="D98" s="29"/>
      <c r="E98" s="46">
        <f>E94*(1-E91)+E96*E91</f>
        <v>0.09998815587562014</v>
      </c>
      <c r="F98" s="46">
        <f>MIN(B158:K158)</f>
        <v>0.08814440697964106</v>
      </c>
      <c r="G98" s="47">
        <f>F98-E98</f>
        <v>-0.011843748895979084</v>
      </c>
    </row>
    <row r="99" spans="3:7" s="1" customFormat="1" ht="12.75">
      <c r="C99" s="28" t="s">
        <v>96</v>
      </c>
      <c r="D99" s="29"/>
      <c r="E99" s="46">
        <f>IF((E98*E101-((I83-I84)*(1-I85)+I84-I86))/(E101+(I83-I84)*(1-I85)+I84-I86)&gt;0.06,0.06,(E98*E101-((I83-I84)*(1-I85)+I84-I86))/(E101+(I83-I84)*(1-I85)+I84-I86))</f>
        <v>0.06</v>
      </c>
      <c r="F99" s="48"/>
      <c r="G99" s="47"/>
    </row>
    <row r="100" spans="3:7" s="1" customFormat="1" ht="15" customHeight="1">
      <c r="C100" s="28" t="s">
        <v>97</v>
      </c>
      <c r="D100" s="29"/>
      <c r="E100" s="112">
        <f>C83+C84</f>
        <v>406510723.4435162</v>
      </c>
      <c r="F100" s="113">
        <f>E100+E100*(E98-F98)/F98</f>
        <v>461132577.47788334</v>
      </c>
      <c r="G100" s="52">
        <f>F100-E100</f>
        <v>54621854.034367144</v>
      </c>
    </row>
    <row r="101" spans="3:7" s="1" customFormat="1" ht="12.75">
      <c r="C101" s="28" t="s">
        <v>98</v>
      </c>
      <c r="D101" s="29"/>
      <c r="E101" s="112">
        <f>C83+C84</f>
        <v>406510723.4435162</v>
      </c>
      <c r="F101" s="112">
        <f>E101+G101</f>
        <v>587842935.9715259</v>
      </c>
      <c r="G101" s="53">
        <f>(E100*(E98-F98)*(1+E99))/(F98-E99)</f>
        <v>181332212.5280097</v>
      </c>
    </row>
    <row r="102" spans="3:7" s="1" customFormat="1" ht="15" customHeight="1">
      <c r="C102" s="28" t="s">
        <v>99</v>
      </c>
      <c r="D102" s="29"/>
      <c r="E102" s="54">
        <f>(E101-C84)/C85</f>
        <v>85.125</v>
      </c>
      <c r="F102" s="54">
        <f>(F100-E100)/C85+E102</f>
        <v>101.88016994919238</v>
      </c>
      <c r="G102" s="55">
        <f>F102-E102</f>
        <v>16.75516994919238</v>
      </c>
    </row>
    <row r="103" spans="3:7" s="1" customFormat="1" ht="12.75">
      <c r="C103" s="35" t="s">
        <v>100</v>
      </c>
      <c r="D103" s="36"/>
      <c r="E103" s="56">
        <f>(E101-C84)/C85</f>
        <v>85.125</v>
      </c>
      <c r="F103" s="56">
        <f>(F101-E101)/C85+E103</f>
        <v>140.7483780760766</v>
      </c>
      <c r="G103" s="57">
        <f>F103-E103</f>
        <v>55.62337807607659</v>
      </c>
    </row>
    <row r="104" s="1" customFormat="1" ht="12.75"/>
    <row r="105" spans="1:11" s="6" customFormat="1" ht="12.75">
      <c r="A105" s="6" t="s">
        <v>101</v>
      </c>
      <c r="H105" s="58" t="s">
        <v>102</v>
      </c>
      <c r="I105" s="59"/>
      <c r="J105" s="59"/>
      <c r="K105" s="60"/>
    </row>
    <row r="106" spans="3:11" s="1" customFormat="1" ht="12.75">
      <c r="C106" s="61" t="s">
        <v>103</v>
      </c>
      <c r="D106" s="62" t="s">
        <v>104</v>
      </c>
      <c r="E106" s="63" t="s">
        <v>105</v>
      </c>
      <c r="F106" s="64" t="s">
        <v>106</v>
      </c>
      <c r="H106" s="65" t="s">
        <v>107</v>
      </c>
      <c r="I106" s="29"/>
      <c r="J106" s="29"/>
      <c r="K106" s="66">
        <f>(F122-J121)/I87</f>
        <v>2.5840887404580153</v>
      </c>
    </row>
    <row r="107" spans="3:11" s="1" customFormat="1" ht="12.75">
      <c r="C107" s="67" t="s">
        <v>58</v>
      </c>
      <c r="D107" s="68">
        <f>IF($D$54="No",A52,A72)</f>
        <v>9.65</v>
      </c>
      <c r="E107" s="68">
        <f>IF($D$54="No",B52,B72)</f>
        <v>100000</v>
      </c>
      <c r="F107" s="69">
        <f>IF($D$54="No",D52,D72)</f>
        <v>0.003</v>
      </c>
      <c r="H107" s="65" t="s">
        <v>108</v>
      </c>
      <c r="I107" s="29"/>
      <c r="J107" s="29"/>
      <c r="K107" s="12" t="str">
        <f>VLOOKUP(K106,D170:G183,3)</f>
        <v>BB</v>
      </c>
    </row>
    <row r="108" spans="3:11" s="1" customFormat="1" ht="12.75">
      <c r="C108" s="67" t="s">
        <v>12</v>
      </c>
      <c r="D108" s="70">
        <f>IF($D$54="No",A51,A71)</f>
        <v>6.85</v>
      </c>
      <c r="E108" s="70">
        <f>IF($D$54="No",B51,B71)</f>
        <v>9.349999</v>
      </c>
      <c r="F108" s="69">
        <f>IF($D$54="No",D51,D71)</f>
        <v>0.007</v>
      </c>
      <c r="H108" s="65" t="s">
        <v>109</v>
      </c>
      <c r="I108" s="29"/>
      <c r="J108" s="29"/>
      <c r="K108" s="12">
        <f>VLOOKUP(K106,D170:G183,4)</f>
        <v>0.08449000000000001</v>
      </c>
    </row>
    <row r="109" spans="3:11" s="1" customFormat="1" ht="12.75">
      <c r="C109" s="67" t="s">
        <v>57</v>
      </c>
      <c r="D109" s="71">
        <f>IF($D$54="No",A50,A70)</f>
        <v>5.65</v>
      </c>
      <c r="E109" s="71">
        <f>IF($D$54="No",B50,B70)</f>
        <v>6.849999</v>
      </c>
      <c r="F109" s="69">
        <f>IF($D$54="No",D50,D70)</f>
        <v>0.01</v>
      </c>
      <c r="H109" s="65" t="s">
        <v>110</v>
      </c>
      <c r="I109" s="29"/>
      <c r="J109" s="29"/>
      <c r="K109" s="15" t="str">
        <f>F84</f>
        <v>AAA</v>
      </c>
    </row>
    <row r="110" spans="3:11" s="1" customFormat="1" ht="12.75">
      <c r="C110" s="67" t="s">
        <v>56</v>
      </c>
      <c r="D110" s="71">
        <f>IF($D$54="No",A49,A69)</f>
        <v>4.49</v>
      </c>
      <c r="E110" s="71">
        <f>IF($D$54="No",B49,B69)</f>
        <v>5.649999</v>
      </c>
      <c r="F110" s="69">
        <f>IF($D$54="No",D49,D69)</f>
        <v>0.0125</v>
      </c>
      <c r="H110" s="72" t="s">
        <v>111</v>
      </c>
      <c r="I110" s="73"/>
      <c r="J110" s="73"/>
      <c r="K110" s="15">
        <f>F87</f>
        <v>0.063</v>
      </c>
    </row>
    <row r="111" spans="3:6" s="1" customFormat="1" ht="12.75">
      <c r="C111" s="67" t="s">
        <v>55</v>
      </c>
      <c r="D111" s="71">
        <f>IF($D$54="No",A48,A68)</f>
        <v>3.29</v>
      </c>
      <c r="E111" s="71">
        <f>IF($D$54="No",B48,B68)</f>
        <v>4.4899999</v>
      </c>
      <c r="F111" s="69">
        <f>IF($D$54="No",D48,D68)</f>
        <v>0.015</v>
      </c>
    </row>
    <row r="112" spans="3:6" s="1" customFormat="1" ht="12.75">
      <c r="C112" s="67" t="s">
        <v>54</v>
      </c>
      <c r="D112" s="71">
        <f>IF($D$54="No",A47,A67)</f>
        <v>2.76</v>
      </c>
      <c r="E112" s="71">
        <f>IF($D$54="No",B47,B67)</f>
        <v>3.2899999</v>
      </c>
      <c r="F112" s="69">
        <f>IF($D$54="No",D47,D67)</f>
        <v>0.02</v>
      </c>
    </row>
    <row r="113" spans="3:6" s="1" customFormat="1" ht="12.75">
      <c r="C113" s="67" t="s">
        <v>53</v>
      </c>
      <c r="D113" s="71">
        <f>IF($D$54="No",A46,A66)</f>
        <v>2.17</v>
      </c>
      <c r="E113" s="71">
        <f>IF($D$54="No",B46,B66)</f>
        <v>2.7599999</v>
      </c>
      <c r="F113" s="69">
        <f>IF($D$54="No",D46,D66)</f>
        <v>0.025</v>
      </c>
    </row>
    <row r="114" spans="3:6" s="1" customFormat="1" ht="12.75">
      <c r="C114" s="67" t="s">
        <v>52</v>
      </c>
      <c r="D114" s="71">
        <f>IF($D$54="No",A45,A65)</f>
        <v>1.87</v>
      </c>
      <c r="E114" s="71">
        <f>IF($D$54="No",B45,B65)</f>
        <v>2.1699999</v>
      </c>
      <c r="F114" s="69">
        <f>IF($D$54="No",D45,D65)</f>
        <v>0.03</v>
      </c>
    </row>
    <row r="115" spans="3:6" s="1" customFormat="1" ht="12.75">
      <c r="C115" s="67" t="s">
        <v>51</v>
      </c>
      <c r="D115" s="71">
        <f>IF($D$54="No",A44,A64)</f>
        <v>1.57</v>
      </c>
      <c r="E115" s="71">
        <f>IF($D$54="No",B44,B64)</f>
        <v>1.8699999</v>
      </c>
      <c r="F115" s="69">
        <f>IF($D$54="No",D44,D64)</f>
        <v>0.04</v>
      </c>
    </row>
    <row r="116" spans="3:6" s="1" customFormat="1" ht="12.75">
      <c r="C116" s="67" t="s">
        <v>50</v>
      </c>
      <c r="D116" s="71">
        <f>IF($D$54="No",A43,A63)</f>
        <v>1.27</v>
      </c>
      <c r="E116" s="71">
        <f>IF($D$54="No",B43,B63)</f>
        <v>1.5699999</v>
      </c>
      <c r="F116" s="69">
        <f>IF($D$54="No",D43,D63)</f>
        <v>0.05</v>
      </c>
    </row>
    <row r="117" spans="3:6" s="1" customFormat="1" ht="12.75">
      <c r="C117" s="67" t="s">
        <v>49</v>
      </c>
      <c r="D117" s="71">
        <f>IF($D$54="No",A42,A62)</f>
        <v>0.87</v>
      </c>
      <c r="E117" s="71">
        <f>IF($D$54="No",B42,B62)</f>
        <v>1.2699999</v>
      </c>
      <c r="F117" s="69">
        <f>IF($D$54="No",D42,D62)</f>
        <v>0.06</v>
      </c>
    </row>
    <row r="118" spans="3:6" s="1" customFormat="1" ht="12.75">
      <c r="C118" s="67" t="s">
        <v>48</v>
      </c>
      <c r="D118" s="71">
        <f>IF($D$54="No",A41,A61)</f>
        <v>0.67</v>
      </c>
      <c r="E118" s="71">
        <f>IF($D$54="No",B41,B61)</f>
        <v>0.8699999</v>
      </c>
      <c r="F118" s="69">
        <f>IF($D$54="No",D41,D61)</f>
        <v>0.075</v>
      </c>
    </row>
    <row r="119" spans="3:6" s="1" customFormat="1" ht="12.75">
      <c r="C119" s="67" t="s">
        <v>47</v>
      </c>
      <c r="D119" s="71">
        <f>IF($D$54="No",A40,A60)</f>
        <v>0.25</v>
      </c>
      <c r="E119" s="71">
        <f>IF($D$54="No",B40,B60)</f>
        <v>0.6699999</v>
      </c>
      <c r="F119" s="69">
        <f>IF($D$54="No",D40,D60)</f>
        <v>0.09</v>
      </c>
    </row>
    <row r="120" spans="3:6" s="1" customFormat="1" ht="12.75">
      <c r="C120" s="74" t="s">
        <v>46</v>
      </c>
      <c r="D120" s="75">
        <f>IF($D$54="No",A39,A59)</f>
        <v>-100000</v>
      </c>
      <c r="E120" s="75">
        <f>IF($D$54="No",B39,B59)</f>
        <v>0.2499999</v>
      </c>
      <c r="F120" s="76">
        <f>IF($D$54="No",D39,D59)</f>
        <v>0.12</v>
      </c>
    </row>
    <row r="121" spans="1:11" s="1" customFormat="1" ht="12.75">
      <c r="A121" s="29" t="s">
        <v>112</v>
      </c>
      <c r="B121" s="77">
        <f>F83</f>
        <v>1.23</v>
      </c>
      <c r="C121" s="32"/>
      <c r="D121" s="78" t="s">
        <v>113</v>
      </c>
      <c r="E121" s="32"/>
      <c r="F121" s="115">
        <f>C83</f>
        <v>277507500</v>
      </c>
      <c r="G121" s="79"/>
      <c r="H121" s="32" t="s">
        <v>114</v>
      </c>
      <c r="I121" s="32"/>
      <c r="J121" s="115">
        <f>I84</f>
        <v>4082000</v>
      </c>
      <c r="K121" s="20"/>
    </row>
    <row r="122" spans="1:11" s="1" customFormat="1" ht="12.75">
      <c r="A122" s="29" t="s">
        <v>115</v>
      </c>
      <c r="B122" s="115">
        <f>C84</f>
        <v>129003223.4435162</v>
      </c>
      <c r="C122" s="32"/>
      <c r="D122" s="78" t="s">
        <v>116</v>
      </c>
      <c r="E122" s="32"/>
      <c r="F122" s="115">
        <f>I83</f>
        <v>25747000</v>
      </c>
      <c r="G122" s="79"/>
      <c r="H122" s="32" t="s">
        <v>117</v>
      </c>
      <c r="I122" s="32"/>
      <c r="J122" s="80">
        <f>F87</f>
        <v>0.063</v>
      </c>
      <c r="K122" s="20"/>
    </row>
    <row r="123" spans="1:11" s="1" customFormat="1" ht="12.75">
      <c r="A123" s="29" t="s">
        <v>118</v>
      </c>
      <c r="B123" s="80">
        <f>I85</f>
        <v>0.34</v>
      </c>
      <c r="C123" s="32"/>
      <c r="D123" s="78" t="s">
        <v>119</v>
      </c>
      <c r="E123" s="32"/>
      <c r="F123" s="80" t="str">
        <f>F84</f>
        <v>AAA</v>
      </c>
      <c r="G123" s="79"/>
      <c r="H123" s="32" t="s">
        <v>120</v>
      </c>
      <c r="I123" s="32"/>
      <c r="J123" s="80">
        <f>F86</f>
        <v>0.05949</v>
      </c>
      <c r="K123" s="20"/>
    </row>
    <row r="124" spans="1:11" s="1" customFormat="1" ht="12.75">
      <c r="A124" s="29"/>
      <c r="B124" s="32"/>
      <c r="C124" s="32"/>
      <c r="D124" s="78"/>
      <c r="E124" s="32"/>
      <c r="F124" s="32"/>
      <c r="G124" s="79"/>
      <c r="H124" s="32" t="s">
        <v>121</v>
      </c>
      <c r="I124" s="32"/>
      <c r="J124" s="80">
        <f>F85</f>
        <v>0.05092</v>
      </c>
      <c r="K124" s="20"/>
    </row>
    <row r="125" spans="1:11" s="1" customFormat="1" ht="12.75">
      <c r="A125" s="81"/>
      <c r="B125" s="82"/>
      <c r="C125" s="82"/>
      <c r="D125" s="82"/>
      <c r="E125" s="82"/>
      <c r="F125" s="83" t="s">
        <v>122</v>
      </c>
      <c r="G125" s="82"/>
      <c r="H125" s="82"/>
      <c r="I125" s="82"/>
      <c r="J125" s="82"/>
      <c r="K125" s="84"/>
    </row>
    <row r="126" spans="1:11" s="1" customFormat="1" ht="12.75">
      <c r="A126" s="85" t="s">
        <v>123</v>
      </c>
      <c r="B126" s="46">
        <v>0</v>
      </c>
      <c r="C126" s="46">
        <v>0.1</v>
      </c>
      <c r="D126" s="46">
        <v>0.2</v>
      </c>
      <c r="E126" s="46">
        <v>0.3</v>
      </c>
      <c r="F126" s="46">
        <v>0.4</v>
      </c>
      <c r="G126" s="46">
        <v>0.5</v>
      </c>
      <c r="H126" s="46">
        <v>0.6</v>
      </c>
      <c r="I126" s="46">
        <v>0.7</v>
      </c>
      <c r="J126" s="46">
        <v>0.8</v>
      </c>
      <c r="K126" s="86">
        <v>0.9</v>
      </c>
    </row>
    <row r="127" spans="1:11" s="1" customFormat="1" ht="12.75">
      <c r="A127" s="85" t="s">
        <v>124</v>
      </c>
      <c r="B127" s="46">
        <f aca="true" t="shared" si="0" ref="B127:K127">B126/(1-B126)</f>
        <v>0</v>
      </c>
      <c r="C127" s="46">
        <f t="shared" si="0"/>
        <v>0.11111111111111112</v>
      </c>
      <c r="D127" s="46">
        <f t="shared" si="0"/>
        <v>0.25</v>
      </c>
      <c r="E127" s="46">
        <f t="shared" si="0"/>
        <v>0.4285714285714286</v>
      </c>
      <c r="F127" s="46">
        <f t="shared" si="0"/>
        <v>0.6666666666666667</v>
      </c>
      <c r="G127" s="46">
        <f t="shared" si="0"/>
        <v>1</v>
      </c>
      <c r="H127" s="46">
        <f t="shared" si="0"/>
        <v>1.4999999999999998</v>
      </c>
      <c r="I127" s="46">
        <f t="shared" si="0"/>
        <v>2.333333333333333</v>
      </c>
      <c r="J127" s="46">
        <f t="shared" si="0"/>
        <v>4.000000000000001</v>
      </c>
      <c r="K127" s="86">
        <f t="shared" si="0"/>
        <v>9.000000000000002</v>
      </c>
    </row>
    <row r="128" spans="1:11" s="117" customFormat="1" ht="12.75">
      <c r="A128" s="116" t="s">
        <v>125</v>
      </c>
      <c r="B128" s="50">
        <v>0</v>
      </c>
      <c r="C128" s="50">
        <f>C126*(B122+F121)</f>
        <v>40651072.34435162</v>
      </c>
      <c r="D128" s="50">
        <f>D126*(B122+F121)</f>
        <v>81302144.68870324</v>
      </c>
      <c r="E128" s="50">
        <f>E126*(B122+F121)</f>
        <v>121953217.03305486</v>
      </c>
      <c r="F128" s="50">
        <f>F126*(B122+F121)</f>
        <v>162604289.37740648</v>
      </c>
      <c r="G128" s="50">
        <f>G126*(B122+F121)</f>
        <v>203255361.7217581</v>
      </c>
      <c r="H128" s="128">
        <f>H126*(B122+F121)</f>
        <v>243906434.06610972</v>
      </c>
      <c r="I128" s="50">
        <f>I126*(B122+F121)</f>
        <v>284557506.4104613</v>
      </c>
      <c r="J128" s="50">
        <f>J126*(B122+F121)</f>
        <v>325208578.75481296</v>
      </c>
      <c r="K128" s="89">
        <f>K126*(B122+F121)</f>
        <v>365859651.0991646</v>
      </c>
    </row>
    <row r="129" spans="1:11" s="1" customFormat="1" ht="12.75">
      <c r="A129" s="85" t="s">
        <v>126</v>
      </c>
      <c r="B129" s="50">
        <f>B121/(1+(1-B123)*B122/F121)*(1+(1-B123)*B127)</f>
        <v>0.9412231507825716</v>
      </c>
      <c r="C129" s="50">
        <f aca="true" t="shared" si="1" ref="C129:K129">$B129*(1+(1-C147)*C127)</f>
        <v>1.0102461818399602</v>
      </c>
      <c r="D129" s="50">
        <f t="shared" si="1"/>
        <v>1.096524970661696</v>
      </c>
      <c r="E129" s="50">
        <f t="shared" si="1"/>
        <v>1.2074548420039275</v>
      </c>
      <c r="F129" s="50">
        <f t="shared" si="1"/>
        <v>1.355361337126903</v>
      </c>
      <c r="G129" s="50">
        <f t="shared" si="1"/>
        <v>1.6288177118714713</v>
      </c>
      <c r="H129" s="50">
        <f t="shared" si="1"/>
        <v>1.8730340700573171</v>
      </c>
      <c r="I129" s="50">
        <f t="shared" si="1"/>
        <v>2.390706802987731</v>
      </c>
      <c r="J129" s="50">
        <f t="shared" si="1"/>
        <v>3.487883288630647</v>
      </c>
      <c r="K129" s="89">
        <f t="shared" si="1"/>
        <v>6.975766577261294</v>
      </c>
    </row>
    <row r="130" spans="1:11" s="1" customFormat="1" ht="12.75">
      <c r="A130" s="85" t="s">
        <v>127</v>
      </c>
      <c r="B130" s="46">
        <f aca="true" t="shared" si="2" ref="B130:K130">$C$86+B129*$C$87</f>
        <v>0.11125727329304144</v>
      </c>
      <c r="C130" s="46">
        <f t="shared" si="2"/>
        <v>0.1150535400011978</v>
      </c>
      <c r="D130" s="46">
        <f t="shared" si="2"/>
        <v>0.11979887338639328</v>
      </c>
      <c r="E130" s="46">
        <f t="shared" si="2"/>
        <v>0.12590001631021602</v>
      </c>
      <c r="F130" s="46">
        <f t="shared" si="2"/>
        <v>0.13403487354197968</v>
      </c>
      <c r="G130" s="46">
        <f t="shared" si="2"/>
        <v>0.14907497415293092</v>
      </c>
      <c r="H130" s="46">
        <f t="shared" si="2"/>
        <v>0.16250687385315243</v>
      </c>
      <c r="I130" s="46">
        <f t="shared" si="2"/>
        <v>0.19097887416432524</v>
      </c>
      <c r="J130" s="46">
        <f t="shared" si="2"/>
        <v>0.2513235808746856</v>
      </c>
      <c r="K130" s="46">
        <f t="shared" si="2"/>
        <v>0.44315716174937114</v>
      </c>
    </row>
    <row r="131" spans="1:11" s="1" customFormat="1" ht="12.75">
      <c r="A131" s="85"/>
      <c r="B131" s="48"/>
      <c r="C131" s="48"/>
      <c r="D131" s="48"/>
      <c r="E131" s="48"/>
      <c r="F131" s="48"/>
      <c r="G131" s="48"/>
      <c r="H131" s="48"/>
      <c r="I131" s="48"/>
      <c r="J131" s="48"/>
      <c r="K131" s="90"/>
    </row>
    <row r="132" spans="1:11" s="1" customFormat="1" ht="12.75">
      <c r="A132" s="85" t="s">
        <v>128</v>
      </c>
      <c r="B132" s="87">
        <f>F122</f>
        <v>25747000</v>
      </c>
      <c r="C132" s="87">
        <f aca="true" t="shared" si="3" ref="C132:K132">B132</f>
        <v>25747000</v>
      </c>
      <c r="D132" s="87">
        <f t="shared" si="3"/>
        <v>25747000</v>
      </c>
      <c r="E132" s="87">
        <f t="shared" si="3"/>
        <v>25747000</v>
      </c>
      <c r="F132" s="87">
        <f t="shared" si="3"/>
        <v>25747000</v>
      </c>
      <c r="G132" s="87">
        <f t="shared" si="3"/>
        <v>25747000</v>
      </c>
      <c r="H132" s="87">
        <f t="shared" si="3"/>
        <v>25747000</v>
      </c>
      <c r="I132" s="87">
        <f t="shared" si="3"/>
        <v>25747000</v>
      </c>
      <c r="J132" s="87">
        <f t="shared" si="3"/>
        <v>25747000</v>
      </c>
      <c r="K132" s="88">
        <f t="shared" si="3"/>
        <v>25747000</v>
      </c>
    </row>
    <row r="133" spans="1:11" s="1" customFormat="1" ht="12.75">
      <c r="A133" s="85" t="s">
        <v>129</v>
      </c>
      <c r="B133" s="87">
        <f>J121</f>
        <v>4082000</v>
      </c>
      <c r="C133" s="87">
        <f aca="true" t="shared" si="4" ref="C133:K133">B133</f>
        <v>4082000</v>
      </c>
      <c r="D133" s="87">
        <f t="shared" si="4"/>
        <v>4082000</v>
      </c>
      <c r="E133" s="87">
        <f t="shared" si="4"/>
        <v>4082000</v>
      </c>
      <c r="F133" s="87">
        <f t="shared" si="4"/>
        <v>4082000</v>
      </c>
      <c r="G133" s="87">
        <f t="shared" si="4"/>
        <v>4082000</v>
      </c>
      <c r="H133" s="87">
        <f t="shared" si="4"/>
        <v>4082000</v>
      </c>
      <c r="I133" s="87">
        <f t="shared" si="4"/>
        <v>4082000</v>
      </c>
      <c r="J133" s="87">
        <f t="shared" si="4"/>
        <v>4082000</v>
      </c>
      <c r="K133" s="88">
        <f t="shared" si="4"/>
        <v>4082000</v>
      </c>
    </row>
    <row r="134" spans="1:11" s="1" customFormat="1" ht="12.75">
      <c r="A134" s="85" t="s">
        <v>130</v>
      </c>
      <c r="B134" s="87">
        <f aca="true" t="shared" si="5" ref="B134:K134">IF($G$76="Yes",B146*B128,(IF(B126&lt;$E$91,($E$14/$E$22)*B128,$E$14+B146*(B128-$C$84))))</f>
        <v>0</v>
      </c>
      <c r="C134" s="87">
        <f t="shared" si="5"/>
        <v>2702889.8001759397</v>
      </c>
      <c r="D134" s="87">
        <f t="shared" si="5"/>
        <v>6056196.757861504</v>
      </c>
      <c r="E134" s="87">
        <f t="shared" si="5"/>
        <v>12133125.562618628</v>
      </c>
      <c r="F134" s="87">
        <f t="shared" si="5"/>
        <v>19429586.5377063</v>
      </c>
      <c r="G134" s="87">
        <f t="shared" si="5"/>
        <v>27335813.597959246</v>
      </c>
      <c r="H134" s="87">
        <f>IF($G$76="Yes",H146*H128,(IF(H126&lt;$E$91,($E$14/$E$22)*H128,$E$14+H146*(H128-$C$84))))</f>
        <v>16341731.082429351</v>
      </c>
      <c r="I134" s="87">
        <f t="shared" si="5"/>
        <v>19065352.929500908</v>
      </c>
      <c r="J134" s="87">
        <f t="shared" si="5"/>
        <v>22764600.51283691</v>
      </c>
      <c r="K134" s="87">
        <f t="shared" si="5"/>
        <v>25610175.576941524</v>
      </c>
    </row>
    <row r="135" spans="1:11" s="1" customFormat="1" ht="12.75">
      <c r="A135" s="85" t="s">
        <v>131</v>
      </c>
      <c r="B135" s="87">
        <f aca="true" t="shared" si="6" ref="B135:K135">B132-B133-B134</f>
        <v>21665000</v>
      </c>
      <c r="C135" s="87">
        <f t="shared" si="6"/>
        <v>18962110.19982406</v>
      </c>
      <c r="D135" s="87">
        <f t="shared" si="6"/>
        <v>15608803.242138496</v>
      </c>
      <c r="E135" s="87">
        <f t="shared" si="6"/>
        <v>9531874.437381372</v>
      </c>
      <c r="F135" s="87">
        <f t="shared" si="6"/>
        <v>2235413.4622936994</v>
      </c>
      <c r="G135" s="87">
        <f t="shared" si="6"/>
        <v>-5670813.5979592465</v>
      </c>
      <c r="H135" s="87">
        <f t="shared" si="6"/>
        <v>5323268.917570649</v>
      </c>
      <c r="I135" s="87">
        <f t="shared" si="6"/>
        <v>2599647.0704990923</v>
      </c>
      <c r="J135" s="87">
        <f t="shared" si="6"/>
        <v>-1099600.5128369108</v>
      </c>
      <c r="K135" s="88">
        <f t="shared" si="6"/>
        <v>-3945175.5769415237</v>
      </c>
    </row>
    <row r="136" spans="1:11" s="1" customFormat="1" ht="12.75">
      <c r="A136" s="85" t="s">
        <v>132</v>
      </c>
      <c r="B136" s="87">
        <f>B123*B135</f>
        <v>7366100.000000001</v>
      </c>
      <c r="C136" s="87">
        <f>B123*C135</f>
        <v>6447117.4679401815</v>
      </c>
      <c r="D136" s="87">
        <f>B123*D135</f>
        <v>5306993.102327089</v>
      </c>
      <c r="E136" s="87">
        <f>B123*E135</f>
        <v>3240837.3087096666</v>
      </c>
      <c r="F136" s="87">
        <f>B123*F135</f>
        <v>760040.5771798579</v>
      </c>
      <c r="G136" s="87">
        <f>B123*G135</f>
        <v>-1928076.623306144</v>
      </c>
      <c r="H136" s="87">
        <f>B123*H135</f>
        <v>1809911.4319740208</v>
      </c>
      <c r="I136" s="87">
        <f>B123*I135</f>
        <v>883880.0039696915</v>
      </c>
      <c r="J136" s="87">
        <f>B123*J135</f>
        <v>-373864.1743645497</v>
      </c>
      <c r="K136" s="88">
        <f>B123*K135</f>
        <v>-1341359.696160118</v>
      </c>
    </row>
    <row r="137" spans="1:11" s="1" customFormat="1" ht="12.75">
      <c r="A137" s="85" t="s">
        <v>133</v>
      </c>
      <c r="B137" s="87">
        <f aca="true" t="shared" si="7" ref="B137:K137">B135-B136</f>
        <v>14298900</v>
      </c>
      <c r="C137" s="87">
        <f t="shared" si="7"/>
        <v>12514992.73188388</v>
      </c>
      <c r="D137" s="87">
        <f t="shared" si="7"/>
        <v>10301810.139811408</v>
      </c>
      <c r="E137" s="87">
        <f t="shared" si="7"/>
        <v>6291037.128671706</v>
      </c>
      <c r="F137" s="87">
        <f t="shared" si="7"/>
        <v>1475372.8851138414</v>
      </c>
      <c r="G137" s="87">
        <f t="shared" si="7"/>
        <v>-3742736.9746531025</v>
      </c>
      <c r="H137" s="87">
        <f t="shared" si="7"/>
        <v>3513357.485596628</v>
      </c>
      <c r="I137" s="87">
        <f t="shared" si="7"/>
        <v>1715767.0665294009</v>
      </c>
      <c r="J137" s="87">
        <f t="shared" si="7"/>
        <v>-725736.3384723611</v>
      </c>
      <c r="K137" s="88">
        <f t="shared" si="7"/>
        <v>-2603815.8807814056</v>
      </c>
    </row>
    <row r="138" spans="1:11" s="1" customFormat="1" ht="12.75">
      <c r="A138" s="85" t="s">
        <v>134</v>
      </c>
      <c r="B138" s="87">
        <f aca="true" t="shared" si="8" ref="B138:K138">B133</f>
        <v>4082000</v>
      </c>
      <c r="C138" s="87">
        <f t="shared" si="8"/>
        <v>4082000</v>
      </c>
      <c r="D138" s="87">
        <f t="shared" si="8"/>
        <v>4082000</v>
      </c>
      <c r="E138" s="87">
        <f t="shared" si="8"/>
        <v>4082000</v>
      </c>
      <c r="F138" s="87">
        <f t="shared" si="8"/>
        <v>4082000</v>
      </c>
      <c r="G138" s="87">
        <f t="shared" si="8"/>
        <v>4082000</v>
      </c>
      <c r="H138" s="87">
        <f t="shared" si="8"/>
        <v>4082000</v>
      </c>
      <c r="I138" s="87">
        <f t="shared" si="8"/>
        <v>4082000</v>
      </c>
      <c r="J138" s="87">
        <f t="shared" si="8"/>
        <v>4082000</v>
      </c>
      <c r="K138" s="88">
        <f t="shared" si="8"/>
        <v>4082000</v>
      </c>
    </row>
    <row r="139" spans="1:11" s="1" customFormat="1" ht="12.75">
      <c r="A139" s="85" t="s">
        <v>135</v>
      </c>
      <c r="B139" s="87">
        <f aca="true" t="shared" si="9" ref="B139:K139">B137+B138</f>
        <v>18380900</v>
      </c>
      <c r="C139" s="87">
        <f t="shared" si="9"/>
        <v>16596992.73188388</v>
      </c>
      <c r="D139" s="87">
        <f t="shared" si="9"/>
        <v>14383810.139811408</v>
      </c>
      <c r="E139" s="87">
        <f t="shared" si="9"/>
        <v>10373037.128671706</v>
      </c>
      <c r="F139" s="87">
        <f t="shared" si="9"/>
        <v>5557372.885113841</v>
      </c>
      <c r="G139" s="87">
        <f t="shared" si="9"/>
        <v>339263.02534689754</v>
      </c>
      <c r="H139" s="87">
        <f t="shared" si="9"/>
        <v>7595357.485596628</v>
      </c>
      <c r="I139" s="87">
        <f t="shared" si="9"/>
        <v>5797767.066529401</v>
      </c>
      <c r="J139" s="87">
        <f t="shared" si="9"/>
        <v>3356263.661527639</v>
      </c>
      <c r="K139" s="88">
        <f t="shared" si="9"/>
        <v>1478184.1192185944</v>
      </c>
    </row>
    <row r="140" spans="1:11" s="1" customFormat="1" ht="12.75">
      <c r="A140" s="85"/>
      <c r="B140" s="48"/>
      <c r="C140" s="48"/>
      <c r="D140" s="48"/>
      <c r="E140" s="48"/>
      <c r="F140" s="48"/>
      <c r="G140" s="48"/>
      <c r="H140" s="48"/>
      <c r="I140" s="48"/>
      <c r="J140" s="48"/>
      <c r="K140" s="90"/>
    </row>
    <row r="141" spans="1:11" s="1" customFormat="1" ht="12.75">
      <c r="A141" s="85" t="s">
        <v>136</v>
      </c>
      <c r="B141" s="48" t="s">
        <v>137</v>
      </c>
      <c r="C141" s="50">
        <f aca="true" t="shared" si="10" ref="C141:K141">C135/C134+1</f>
        <v>8.015495118813115</v>
      </c>
      <c r="D141" s="50">
        <f t="shared" si="10"/>
        <v>3.5773276308892745</v>
      </c>
      <c r="E141" s="50">
        <f t="shared" si="10"/>
        <v>1.78560749974833</v>
      </c>
      <c r="F141" s="50">
        <f t="shared" si="10"/>
        <v>1.1150520345842416</v>
      </c>
      <c r="G141" s="50">
        <f t="shared" si="10"/>
        <v>0.7925500341287592</v>
      </c>
      <c r="H141" s="50">
        <f t="shared" si="10"/>
        <v>1.3257469414176222</v>
      </c>
      <c r="I141" s="50">
        <f t="shared" si="10"/>
        <v>1.1363545212151047</v>
      </c>
      <c r="J141" s="50">
        <f t="shared" si="10"/>
        <v>0.95169691151765</v>
      </c>
      <c r="K141" s="89">
        <f t="shared" si="10"/>
        <v>0.8459528102379111</v>
      </c>
    </row>
    <row r="142" spans="1:11" s="1" customFormat="1" ht="12.75">
      <c r="A142" s="85" t="s">
        <v>138</v>
      </c>
      <c r="B142" s="48" t="s">
        <v>137</v>
      </c>
      <c r="C142" s="50">
        <f aca="true" t="shared" si="11" ref="C142:K142">C139/C134</f>
        <v>6.140462230758919</v>
      </c>
      <c r="D142" s="50">
        <f t="shared" si="11"/>
        <v>2.3750566097674897</v>
      </c>
      <c r="E142" s="50">
        <f t="shared" si="11"/>
        <v>0.8549352823505231</v>
      </c>
      <c r="F142" s="50">
        <f t="shared" si="11"/>
        <v>0.2860263070615963</v>
      </c>
      <c r="G142" s="50">
        <f t="shared" si="11"/>
        <v>0.012410935717392556</v>
      </c>
      <c r="H142" s="50">
        <f t="shared" si="11"/>
        <v>0.46478291970935476</v>
      </c>
      <c r="I142" s="50">
        <f t="shared" si="11"/>
        <v>0.30409964546516133</v>
      </c>
      <c r="J142" s="50">
        <f t="shared" si="11"/>
        <v>0.1474334530770724</v>
      </c>
      <c r="K142" s="89">
        <f t="shared" si="11"/>
        <v>0.05771862495739771</v>
      </c>
    </row>
    <row r="143" spans="1:11" s="1" customFormat="1" ht="12.75">
      <c r="A143" s="85" t="s">
        <v>139</v>
      </c>
      <c r="B143" s="48" t="s">
        <v>137</v>
      </c>
      <c r="C143" s="50">
        <f aca="true" t="shared" si="12" ref="C143:K143">C139/C128</f>
        <v>0.4082793337231606</v>
      </c>
      <c r="D143" s="50">
        <f t="shared" si="12"/>
        <v>0.17691796686158032</v>
      </c>
      <c r="E143" s="50">
        <f t="shared" si="12"/>
        <v>0.08505751124105354</v>
      </c>
      <c r="F143" s="50">
        <f t="shared" si="12"/>
        <v>0.03417728343079015</v>
      </c>
      <c r="G143" s="50">
        <f t="shared" si="12"/>
        <v>0.0016691467446321249</v>
      </c>
      <c r="H143" s="50">
        <f t="shared" si="12"/>
        <v>0.03114045562052677</v>
      </c>
      <c r="I143" s="50">
        <f t="shared" si="12"/>
        <v>0.020374676246165808</v>
      </c>
      <c r="J143" s="50">
        <f t="shared" si="12"/>
        <v>0.01032034171539507</v>
      </c>
      <c r="K143" s="89">
        <f t="shared" si="12"/>
        <v>0.00404030374701784</v>
      </c>
    </row>
    <row r="144" spans="1:11" s="1" customFormat="1" ht="12.75">
      <c r="A144" s="85"/>
      <c r="B144" s="48"/>
      <c r="C144" s="48"/>
      <c r="D144" s="48"/>
      <c r="E144" s="48"/>
      <c r="F144" s="48"/>
      <c r="G144" s="48"/>
      <c r="H144" s="48"/>
      <c r="I144" s="48"/>
      <c r="J144" s="48"/>
      <c r="K144" s="90"/>
    </row>
    <row r="145" spans="1:11" s="1" customFormat="1" ht="12.75">
      <c r="A145" s="85" t="s">
        <v>140</v>
      </c>
      <c r="B145" s="48" t="str">
        <f>VLOOKUP(C141,D170:G183,3)</f>
        <v>AA</v>
      </c>
      <c r="C145" s="48" t="str">
        <f>VLOOKUP(C141,D170:G183,3)</f>
        <v>AA</v>
      </c>
      <c r="D145" s="48" t="str">
        <f>VLOOKUP(D141,D170:G183,3)</f>
        <v>A-</v>
      </c>
      <c r="E145" s="48" t="str">
        <f>VLOOKUP(E141,D170:G183,3)</f>
        <v>B</v>
      </c>
      <c r="F145" s="48" t="str">
        <f>VLOOKUP(F141,D170:G183,3)</f>
        <v>CCC</v>
      </c>
      <c r="G145" s="48" t="str">
        <f>VLOOKUP(G141,D170:G183,3)</f>
        <v>CC</v>
      </c>
      <c r="H145" s="48" t="str">
        <f>VLOOKUP(H141,D170:G183,3)</f>
        <v>B-</v>
      </c>
      <c r="I145" s="48" t="str">
        <f>VLOOKUP(I141,D170:G183,3)</f>
        <v>CCC</v>
      </c>
      <c r="J145" s="48" t="str">
        <f>VLOOKUP(J141,D170:G183,3)</f>
        <v>CCC</v>
      </c>
      <c r="K145" s="90" t="str">
        <f>VLOOKUP(K141,D170:G183,3)</f>
        <v>CC</v>
      </c>
    </row>
    <row r="146" spans="1:11" s="1" customFormat="1" ht="12.75">
      <c r="A146" s="85" t="s">
        <v>141</v>
      </c>
      <c r="B146" s="46">
        <f>VLOOKUP(C141,D170:G183,4)</f>
        <v>0.06649000000000001</v>
      </c>
      <c r="C146" s="46">
        <f>VLOOKUP(C141,D170:G183,4)</f>
        <v>0.06649000000000001</v>
      </c>
      <c r="D146" s="46">
        <f>VLOOKUP(D141,D170:G183,4)</f>
        <v>0.07449</v>
      </c>
      <c r="E146" s="46">
        <f>VLOOKUP(E141,D170:G183,4)</f>
        <v>0.09949</v>
      </c>
      <c r="F146" s="46">
        <f>VLOOKUP(F141,D170:G183,4)</f>
        <v>0.11949</v>
      </c>
      <c r="G146" s="46">
        <f>VLOOKUP(G141,D170:G183,4)</f>
        <v>0.13449</v>
      </c>
      <c r="H146" s="46">
        <v>0.067</v>
      </c>
      <c r="I146" s="46">
        <v>0.067</v>
      </c>
      <c r="J146" s="46">
        <v>0.07</v>
      </c>
      <c r="K146" s="86">
        <v>0.07</v>
      </c>
    </row>
    <row r="147" spans="1:11" s="1" customFormat="1" ht="12.75">
      <c r="A147" s="91" t="s">
        <v>142</v>
      </c>
      <c r="B147" s="92">
        <f>B123</f>
        <v>0.34</v>
      </c>
      <c r="C147" s="92">
        <f aca="true" t="shared" si="13" ref="C147:K147">$B123*MIN(1,(C135+C134)/C134)</f>
        <v>0.34</v>
      </c>
      <c r="D147" s="92">
        <f t="shared" si="13"/>
        <v>0.34</v>
      </c>
      <c r="E147" s="92">
        <f t="shared" si="13"/>
        <v>0.34</v>
      </c>
      <c r="F147" s="92">
        <f t="shared" si="13"/>
        <v>0.34</v>
      </c>
      <c r="G147" s="92">
        <f t="shared" si="13"/>
        <v>0.2694670116037781</v>
      </c>
      <c r="H147" s="92">
        <f>$B123*MIN(1,(H135+H134)/H134)</f>
        <v>0.34</v>
      </c>
      <c r="I147" s="92">
        <f t="shared" si="13"/>
        <v>0.34</v>
      </c>
      <c r="J147" s="92">
        <f t="shared" si="13"/>
        <v>0.323576949916001</v>
      </c>
      <c r="K147" s="93">
        <f t="shared" si="13"/>
        <v>0.2876239554808898</v>
      </c>
    </row>
    <row r="148" spans="1:11" s="29" customFormat="1" ht="15" customHeight="1" thickBot="1">
      <c r="A148" s="94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s="1" customFormat="1" ht="12.75">
      <c r="A149" s="95"/>
      <c r="B149" s="96"/>
      <c r="C149" s="96"/>
      <c r="D149" s="96"/>
      <c r="E149" s="97"/>
      <c r="F149" s="98" t="s">
        <v>143</v>
      </c>
      <c r="G149" s="96"/>
      <c r="H149" s="96"/>
      <c r="I149" s="96"/>
      <c r="J149" s="96"/>
      <c r="K149" s="99"/>
    </row>
    <row r="150" spans="1:11" s="1" customFormat="1" ht="12.75">
      <c r="A150" s="85" t="s">
        <v>123</v>
      </c>
      <c r="B150" s="46">
        <v>0</v>
      </c>
      <c r="C150" s="46">
        <v>0.1</v>
      </c>
      <c r="D150" s="46">
        <v>0.2</v>
      </c>
      <c r="E150" s="46">
        <v>0.3</v>
      </c>
      <c r="F150" s="46">
        <v>0.4</v>
      </c>
      <c r="G150" s="46">
        <v>0.5</v>
      </c>
      <c r="H150" s="46">
        <v>0.6</v>
      </c>
      <c r="I150" s="46">
        <v>0.7</v>
      </c>
      <c r="J150" s="46">
        <v>0.8</v>
      </c>
      <c r="K150" s="86">
        <v>0.9</v>
      </c>
    </row>
    <row r="151" spans="1:11" s="1" customFormat="1" ht="12.75">
      <c r="A151" s="85" t="s">
        <v>124</v>
      </c>
      <c r="B151" s="46">
        <f aca="true" t="shared" si="14" ref="B151:K151">B150/(1-B150)</f>
        <v>0</v>
      </c>
      <c r="C151" s="46">
        <f t="shared" si="14"/>
        <v>0.11111111111111112</v>
      </c>
      <c r="D151" s="46">
        <f t="shared" si="14"/>
        <v>0.25</v>
      </c>
      <c r="E151" s="46">
        <f t="shared" si="14"/>
        <v>0.4285714285714286</v>
      </c>
      <c r="F151" s="46">
        <f t="shared" si="14"/>
        <v>0.6666666666666667</v>
      </c>
      <c r="G151" s="46">
        <f t="shared" si="14"/>
        <v>1</v>
      </c>
      <c r="H151" s="46">
        <f t="shared" si="14"/>
        <v>1.4999999999999998</v>
      </c>
      <c r="I151" s="46">
        <f t="shared" si="14"/>
        <v>2.333333333333333</v>
      </c>
      <c r="J151" s="46">
        <f t="shared" si="14"/>
        <v>4.000000000000001</v>
      </c>
      <c r="K151" s="86">
        <f t="shared" si="14"/>
        <v>9.000000000000002</v>
      </c>
    </row>
    <row r="152" spans="1:11" s="1" customFormat="1" ht="12.75">
      <c r="A152" s="85" t="s">
        <v>125</v>
      </c>
      <c r="B152" s="87">
        <f aca="true" t="shared" si="15" ref="B152:K152">B128</f>
        <v>0</v>
      </c>
      <c r="C152" s="87">
        <f t="shared" si="15"/>
        <v>40651072.34435162</v>
      </c>
      <c r="D152" s="87">
        <f t="shared" si="15"/>
        <v>81302144.68870324</v>
      </c>
      <c r="E152" s="87">
        <f t="shared" si="15"/>
        <v>121953217.03305486</v>
      </c>
      <c r="F152" s="87">
        <f t="shared" si="15"/>
        <v>162604289.37740648</v>
      </c>
      <c r="G152" s="87">
        <f t="shared" si="15"/>
        <v>203255361.7217581</v>
      </c>
      <c r="H152" s="87">
        <f t="shared" si="15"/>
        <v>243906434.06610972</v>
      </c>
      <c r="I152" s="87">
        <f t="shared" si="15"/>
        <v>284557506.4104613</v>
      </c>
      <c r="J152" s="87">
        <f t="shared" si="15"/>
        <v>325208578.75481296</v>
      </c>
      <c r="K152" s="88">
        <f t="shared" si="15"/>
        <v>365859651.0991646</v>
      </c>
    </row>
    <row r="153" spans="1:11" s="1" customFormat="1" ht="12.75">
      <c r="A153" s="85"/>
      <c r="B153" s="48"/>
      <c r="C153" s="48"/>
      <c r="D153" s="48"/>
      <c r="E153" s="48"/>
      <c r="F153" s="48"/>
      <c r="G153" s="48"/>
      <c r="H153" s="48"/>
      <c r="I153" s="48"/>
      <c r="J153" s="48"/>
      <c r="K153" s="90"/>
    </row>
    <row r="154" spans="1:11" s="1" customFormat="1" ht="12.75">
      <c r="A154" s="85" t="s">
        <v>144</v>
      </c>
      <c r="B154" s="46">
        <f aca="true" t="shared" si="16" ref="B154:K154">B130</f>
        <v>0.11125727329304144</v>
      </c>
      <c r="C154" s="46">
        <f t="shared" si="16"/>
        <v>0.1150535400011978</v>
      </c>
      <c r="D154" s="46">
        <f t="shared" si="16"/>
        <v>0.11979887338639328</v>
      </c>
      <c r="E154" s="46">
        <f t="shared" si="16"/>
        <v>0.12590001631021602</v>
      </c>
      <c r="F154" s="46">
        <f t="shared" si="16"/>
        <v>0.13403487354197968</v>
      </c>
      <c r="G154" s="46">
        <f t="shared" si="16"/>
        <v>0.14907497415293092</v>
      </c>
      <c r="H154" s="46">
        <f t="shared" si="16"/>
        <v>0.16250687385315243</v>
      </c>
      <c r="I154" s="46">
        <f t="shared" si="16"/>
        <v>0.19097887416432524</v>
      </c>
      <c r="J154" s="46">
        <f t="shared" si="16"/>
        <v>0.2513235808746856</v>
      </c>
      <c r="K154" s="86">
        <f t="shared" si="16"/>
        <v>0.44315716174937114</v>
      </c>
    </row>
    <row r="155" spans="1:11" s="1" customFormat="1" ht="12.75">
      <c r="A155" s="100"/>
      <c r="B155" s="48"/>
      <c r="C155" s="48"/>
      <c r="D155" s="48"/>
      <c r="E155" s="48"/>
      <c r="F155" s="48"/>
      <c r="G155" s="48"/>
      <c r="H155" s="48"/>
      <c r="I155" s="48"/>
      <c r="J155" s="48"/>
      <c r="K155" s="90"/>
    </row>
    <row r="156" spans="1:11" s="1" customFormat="1" ht="12.75">
      <c r="A156" s="91" t="s">
        <v>145</v>
      </c>
      <c r="B156" s="92">
        <f aca="true" t="shared" si="17" ref="B156:K156">B146*(1-B147)</f>
        <v>0.0438834</v>
      </c>
      <c r="C156" s="92">
        <f t="shared" si="17"/>
        <v>0.0438834</v>
      </c>
      <c r="D156" s="92">
        <f t="shared" si="17"/>
        <v>0.049163399999999996</v>
      </c>
      <c r="E156" s="92">
        <f t="shared" si="17"/>
        <v>0.06566339999999998</v>
      </c>
      <c r="F156" s="92">
        <f t="shared" si="17"/>
        <v>0.07886339999999999</v>
      </c>
      <c r="G156" s="92">
        <f t="shared" si="17"/>
        <v>0.09824938160940788</v>
      </c>
      <c r="H156" s="92">
        <f t="shared" si="17"/>
        <v>0.044219999999999995</v>
      </c>
      <c r="I156" s="92">
        <f t="shared" si="17"/>
        <v>0.044219999999999995</v>
      </c>
      <c r="J156" s="92">
        <f t="shared" si="17"/>
        <v>0.047349613505879934</v>
      </c>
      <c r="K156" s="93">
        <f t="shared" si="17"/>
        <v>0.049866323116337714</v>
      </c>
    </row>
    <row r="157" spans="1:11" s="1" customFormat="1" ht="13.5" thickBot="1">
      <c r="A157" s="94"/>
      <c r="B157" s="48"/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1:11" s="1" customFormat="1" ht="12.75" customHeight="1" thickTop="1">
      <c r="A158" s="101" t="s">
        <v>95</v>
      </c>
      <c r="B158" s="102">
        <f aca="true" t="shared" si="18" ref="B158:K158">B154*(1-B150)+B156*B150</f>
        <v>0.11125727329304144</v>
      </c>
      <c r="C158" s="102">
        <f t="shared" si="18"/>
        <v>0.10793652600107803</v>
      </c>
      <c r="D158" s="102">
        <f t="shared" si="18"/>
        <v>0.10567177870911462</v>
      </c>
      <c r="E158" s="102">
        <f t="shared" si="18"/>
        <v>0.10782903141715121</v>
      </c>
      <c r="F158" s="102">
        <f t="shared" si="18"/>
        <v>0.1119662841251878</v>
      </c>
      <c r="G158" s="102">
        <f t="shared" si="18"/>
        <v>0.1236621778811694</v>
      </c>
      <c r="H158" s="102">
        <f t="shared" si="18"/>
        <v>0.09153474954126098</v>
      </c>
      <c r="I158" s="102">
        <f t="shared" si="18"/>
        <v>0.08824766224929757</v>
      </c>
      <c r="J158" s="102">
        <f t="shared" si="18"/>
        <v>0.08814440697964106</v>
      </c>
      <c r="K158" s="103">
        <f t="shared" si="18"/>
        <v>0.08919540697964104</v>
      </c>
    </row>
    <row r="159" spans="1:11" s="1" customFormat="1" ht="15.75" customHeight="1">
      <c r="A159" s="104"/>
      <c r="B159" s="48">
        <f aca="true" t="shared" si="19" ref="B159:K159">IF(B158=MIN($B158:$K158),1,0)</f>
        <v>0</v>
      </c>
      <c r="C159" s="48">
        <f t="shared" si="19"/>
        <v>0</v>
      </c>
      <c r="D159" s="48">
        <f t="shared" si="19"/>
        <v>0</v>
      </c>
      <c r="E159" s="48">
        <f t="shared" si="19"/>
        <v>0</v>
      </c>
      <c r="F159" s="48">
        <f t="shared" si="19"/>
        <v>0</v>
      </c>
      <c r="G159" s="48">
        <f t="shared" si="19"/>
        <v>0</v>
      </c>
      <c r="H159" s="48">
        <f t="shared" si="19"/>
        <v>0</v>
      </c>
      <c r="I159" s="48">
        <f t="shared" si="19"/>
        <v>0</v>
      </c>
      <c r="J159" s="48">
        <f t="shared" si="19"/>
        <v>1</v>
      </c>
      <c r="K159" s="105">
        <f t="shared" si="19"/>
        <v>0</v>
      </c>
    </row>
    <row r="160" spans="1:11" s="117" customFormat="1" ht="15.75" customHeight="1">
      <c r="A160" s="120" t="s">
        <v>146</v>
      </c>
      <c r="B160" s="121">
        <f aca="true" t="shared" si="20" ref="B160:K160">$E$101+($E$98-B158)*$E$101/B158</f>
        <v>365335733.81510884</v>
      </c>
      <c r="C160" s="121">
        <f t="shared" si="20"/>
        <v>376575558.67950994</v>
      </c>
      <c r="D160" s="121">
        <f t="shared" si="20"/>
        <v>384646289.456993</v>
      </c>
      <c r="E160" s="121">
        <f t="shared" si="20"/>
        <v>376950966.234092</v>
      </c>
      <c r="F160" s="121">
        <f t="shared" si="20"/>
        <v>363022296.38464594</v>
      </c>
      <c r="G160" s="121">
        <f t="shared" si="20"/>
        <v>328687867.8446015</v>
      </c>
      <c r="H160" s="121">
        <f t="shared" si="20"/>
        <v>444052753.5661127</v>
      </c>
      <c r="I160" s="121">
        <f t="shared" si="20"/>
        <v>460593023.59712017</v>
      </c>
      <c r="J160" s="121">
        <f t="shared" si="20"/>
        <v>461132577.47788334</v>
      </c>
      <c r="K160" s="121">
        <f t="shared" si="20"/>
        <v>455698997.9322474</v>
      </c>
    </row>
    <row r="161" spans="1:11" s="117" customFormat="1" ht="13.5" thickBot="1">
      <c r="A161" s="122" t="s">
        <v>147</v>
      </c>
      <c r="B161" s="123">
        <f aca="true" t="shared" si="21" ref="B161:K161">$E$101+($E$98-B158)*$E$101*(1+$E$99)/(B158-$E$99)</f>
        <v>311775327.1496085</v>
      </c>
      <c r="C161" s="123">
        <f t="shared" si="21"/>
        <v>335062835.22538584</v>
      </c>
      <c r="D161" s="123">
        <f t="shared" si="21"/>
        <v>352887218.58263355</v>
      </c>
      <c r="E161" s="123">
        <f t="shared" si="21"/>
        <v>335870698.1693287</v>
      </c>
      <c r="F161" s="123">
        <f t="shared" si="21"/>
        <v>307188789.57941824</v>
      </c>
      <c r="G161" s="123">
        <f t="shared" si="21"/>
        <v>246271649.30953872</v>
      </c>
      <c r="H161" s="123">
        <f t="shared" si="21"/>
        <v>522020895.46022505</v>
      </c>
      <c r="I161" s="123">
        <f t="shared" si="21"/>
        <v>585605004.1110572</v>
      </c>
      <c r="J161" s="123">
        <f t="shared" si="21"/>
        <v>587842935.9715259</v>
      </c>
      <c r="K161" s="123">
        <f t="shared" si="21"/>
        <v>565803253.7579806</v>
      </c>
    </row>
    <row r="162" spans="1:11" s="1" customFormat="1" ht="12.75">
      <c r="A162" s="94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</row>
    <row r="163" spans="1:11" s="1" customFormat="1" ht="12.75">
      <c r="A163" s="94" t="s">
        <v>148</v>
      </c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</row>
    <row r="164" spans="1:11" s="1" customFormat="1" ht="12.75">
      <c r="A164" s="94" t="s">
        <v>149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</row>
    <row r="165" s="1" customFormat="1" ht="12.75">
      <c r="B165" s="1" t="s">
        <v>150</v>
      </c>
    </row>
    <row r="166" s="1" customFormat="1" ht="12.75">
      <c r="B166" s="1" t="s">
        <v>151</v>
      </c>
    </row>
    <row r="167" s="1" customFormat="1" ht="12.75"/>
    <row r="168" spans="4:7" s="1" customFormat="1" ht="12.75">
      <c r="D168" s="107" t="s">
        <v>152</v>
      </c>
      <c r="E168" s="107" t="s">
        <v>152</v>
      </c>
      <c r="F168" s="107" t="s">
        <v>153</v>
      </c>
      <c r="G168" s="107" t="s">
        <v>154</v>
      </c>
    </row>
    <row r="169" spans="4:7" s="1" customFormat="1" ht="12.75">
      <c r="D169" s="107" t="s">
        <v>155</v>
      </c>
      <c r="E169" s="107" t="s">
        <v>156</v>
      </c>
      <c r="F169" s="107"/>
      <c r="G169" s="107"/>
    </row>
    <row r="170" spans="4:7" s="1" customFormat="1" ht="12.75">
      <c r="D170" s="107">
        <f aca="true" t="shared" si="22" ref="D170:D183">IF($D$54="No",A39,A59)</f>
        <v>-100000</v>
      </c>
      <c r="E170" s="107">
        <f aca="true" t="shared" si="23" ref="E170:E183">IF($D$54="No",B39,B59)</f>
        <v>0.2499999</v>
      </c>
      <c r="F170" s="107" t="s">
        <v>46</v>
      </c>
      <c r="G170" s="108">
        <f>J123+F120</f>
        <v>0.17948999999999998</v>
      </c>
    </row>
    <row r="171" spans="4:7" s="1" customFormat="1" ht="12.75">
      <c r="D171" s="107">
        <f t="shared" si="22"/>
        <v>0.25</v>
      </c>
      <c r="E171" s="107">
        <f t="shared" si="23"/>
        <v>0.6699999</v>
      </c>
      <c r="F171" s="107" t="s">
        <v>47</v>
      </c>
      <c r="G171" s="108">
        <f>J123+F119</f>
        <v>0.14949</v>
      </c>
    </row>
    <row r="172" spans="4:7" s="1" customFormat="1" ht="12.75">
      <c r="D172" s="107">
        <f t="shared" si="22"/>
        <v>0.67</v>
      </c>
      <c r="E172" s="107">
        <f t="shared" si="23"/>
        <v>0.8699999</v>
      </c>
      <c r="F172" s="107" t="s">
        <v>48</v>
      </c>
      <c r="G172" s="108">
        <f>J123+F118</f>
        <v>0.13449</v>
      </c>
    </row>
    <row r="173" spans="4:7" s="1" customFormat="1" ht="12.75">
      <c r="D173" s="107">
        <f t="shared" si="22"/>
        <v>0.87</v>
      </c>
      <c r="E173" s="107">
        <f t="shared" si="23"/>
        <v>1.2699999</v>
      </c>
      <c r="F173" s="107" t="s">
        <v>49</v>
      </c>
      <c r="G173" s="108">
        <f>J123+F117</f>
        <v>0.11949</v>
      </c>
    </row>
    <row r="174" spans="4:7" s="1" customFormat="1" ht="12.75">
      <c r="D174" s="107">
        <f t="shared" si="22"/>
        <v>1.27</v>
      </c>
      <c r="E174" s="107">
        <f t="shared" si="23"/>
        <v>1.5699999</v>
      </c>
      <c r="F174" s="107" t="s">
        <v>50</v>
      </c>
      <c r="G174" s="108">
        <f>J123+F116</f>
        <v>0.10949</v>
      </c>
    </row>
    <row r="175" spans="4:7" s="1" customFormat="1" ht="12.75">
      <c r="D175" s="107">
        <f t="shared" si="22"/>
        <v>1.57</v>
      </c>
      <c r="E175" s="107">
        <f t="shared" si="23"/>
        <v>1.8699999</v>
      </c>
      <c r="F175" s="107" t="s">
        <v>51</v>
      </c>
      <c r="G175" s="108">
        <f>J123+F115</f>
        <v>0.09949</v>
      </c>
    </row>
    <row r="176" spans="4:7" s="1" customFormat="1" ht="12.75">
      <c r="D176" s="107">
        <f t="shared" si="22"/>
        <v>1.87</v>
      </c>
      <c r="E176" s="107">
        <f t="shared" si="23"/>
        <v>2.1699999</v>
      </c>
      <c r="F176" s="107" t="s">
        <v>52</v>
      </c>
      <c r="G176" s="108">
        <f>J123+F114</f>
        <v>0.08949</v>
      </c>
    </row>
    <row r="177" spans="4:7" s="1" customFormat="1" ht="12.75">
      <c r="D177" s="107">
        <f t="shared" si="22"/>
        <v>2.17</v>
      </c>
      <c r="E177" s="107">
        <f t="shared" si="23"/>
        <v>2.7599999</v>
      </c>
      <c r="F177" s="107" t="s">
        <v>53</v>
      </c>
      <c r="G177" s="108">
        <f>J123+F113</f>
        <v>0.08449000000000001</v>
      </c>
    </row>
    <row r="178" spans="4:7" s="1" customFormat="1" ht="12.75">
      <c r="D178" s="107">
        <f t="shared" si="22"/>
        <v>2.76</v>
      </c>
      <c r="E178" s="107">
        <f t="shared" si="23"/>
        <v>3.2899999</v>
      </c>
      <c r="F178" s="107" t="s">
        <v>54</v>
      </c>
      <c r="G178" s="108">
        <f>J123+F112</f>
        <v>0.07949</v>
      </c>
    </row>
    <row r="179" spans="4:7" s="1" customFormat="1" ht="12.75">
      <c r="D179" s="107">
        <f t="shared" si="22"/>
        <v>3.29</v>
      </c>
      <c r="E179" s="107">
        <f t="shared" si="23"/>
        <v>4.4899999</v>
      </c>
      <c r="F179" s="107" t="s">
        <v>55</v>
      </c>
      <c r="G179" s="108">
        <f>J123+F111</f>
        <v>0.07449</v>
      </c>
    </row>
    <row r="180" spans="4:7" s="1" customFormat="1" ht="12.75">
      <c r="D180" s="107">
        <f t="shared" si="22"/>
        <v>4.49</v>
      </c>
      <c r="E180" s="107">
        <f t="shared" si="23"/>
        <v>5.649999</v>
      </c>
      <c r="F180" s="107" t="s">
        <v>56</v>
      </c>
      <c r="G180" s="108">
        <f>J123+F110</f>
        <v>0.07199</v>
      </c>
    </row>
    <row r="181" spans="4:7" s="1" customFormat="1" ht="12.75">
      <c r="D181" s="107">
        <f t="shared" si="22"/>
        <v>5.65</v>
      </c>
      <c r="E181" s="107">
        <f t="shared" si="23"/>
        <v>6.849999</v>
      </c>
      <c r="F181" s="107" t="s">
        <v>57</v>
      </c>
      <c r="G181" s="108">
        <f>J123+F109</f>
        <v>0.06949</v>
      </c>
    </row>
    <row r="182" spans="4:7" s="1" customFormat="1" ht="12.75">
      <c r="D182" s="107">
        <f t="shared" si="22"/>
        <v>6.85</v>
      </c>
      <c r="E182" s="107">
        <f t="shared" si="23"/>
        <v>9.349999</v>
      </c>
      <c r="F182" s="107" t="s">
        <v>12</v>
      </c>
      <c r="G182" s="108">
        <f>J123+F108</f>
        <v>0.06649000000000001</v>
      </c>
    </row>
    <row r="183" spans="4:7" s="1" customFormat="1" ht="12.75">
      <c r="D183" s="107">
        <f t="shared" si="22"/>
        <v>9.65</v>
      </c>
      <c r="E183" s="107">
        <f t="shared" si="23"/>
        <v>100000</v>
      </c>
      <c r="F183" s="107" t="s">
        <v>58</v>
      </c>
      <c r="G183" s="108">
        <f>J123+F107</f>
        <v>0.062490000000000004</v>
      </c>
    </row>
    <row r="186" ht="12.75">
      <c r="A186" s="118"/>
    </row>
    <row r="187" ht="12.75">
      <c r="A187" s="118"/>
    </row>
    <row r="188" ht="12.75">
      <c r="A188" s="118"/>
    </row>
    <row r="189" ht="12.75">
      <c r="A189" s="118"/>
    </row>
    <row r="190" ht="12.75">
      <c r="A190" s="118"/>
    </row>
  </sheetData>
  <printOptions/>
  <pageMargins left="0.75" right="0.75" top="1" bottom="1" header="0.5" footer="0.5"/>
  <pageSetup firstPageNumber="17" useFirstPageNumber="1" horizontalDpi="600" verticalDpi="600" orientation="landscape" r:id="rId1"/>
  <headerFooter alignWithMargins="0">
    <oddHeader>&amp;C&amp;"Times"&amp;12CAPITAL STRUCTURE&amp;R&amp;P</oddHeader>
  </headerFooter>
  <rowBreaks count="4" manualBreakCount="4">
    <brk id="76" max="65535" man="1"/>
    <brk id="117" max="65535" man="1"/>
    <brk id="145" max="65535" man="1"/>
    <brk id="16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5"/>
  <sheetViews>
    <sheetView zoomScale="75" zoomScaleNormal="75" workbookViewId="0" topLeftCell="A1">
      <selection activeCell="C78" sqref="C78"/>
    </sheetView>
  </sheetViews>
  <sheetFormatPr defaultColWidth="9.00390625" defaultRowHeight="12.75"/>
  <cols>
    <col min="1" max="1" width="43.375" style="124" customWidth="1"/>
    <col min="2" max="2" width="15.75390625" style="125" customWidth="1"/>
    <col min="3" max="22" width="11.75390625" style="125" customWidth="1"/>
    <col min="23" max="44" width="9.125" style="125" customWidth="1"/>
    <col min="45" max="16384" width="9.125" style="126" customWidth="1"/>
  </cols>
  <sheetData>
    <row r="2" ht="12.75">
      <c r="A2" s="124" t="s">
        <v>177</v>
      </c>
    </row>
    <row r="4" spans="1:2" ht="12.75">
      <c r="A4" s="124" t="s">
        <v>178</v>
      </c>
      <c r="B4" s="125">
        <v>369604103</v>
      </c>
    </row>
    <row r="5" spans="1:2" ht="12.75">
      <c r="A5" s="124" t="s">
        <v>179</v>
      </c>
      <c r="B5" s="125">
        <v>2380498</v>
      </c>
    </row>
    <row r="6" spans="1:2" ht="12.75">
      <c r="A6" s="124" t="s">
        <v>180</v>
      </c>
      <c r="B6" s="125" t="s">
        <v>181</v>
      </c>
    </row>
    <row r="7" spans="1:2" ht="12.75">
      <c r="A7" s="124" t="s">
        <v>182</v>
      </c>
      <c r="B7" s="125">
        <v>933071</v>
      </c>
    </row>
    <row r="9" spans="1:2" ht="12.75">
      <c r="A9" s="124" t="s">
        <v>183</v>
      </c>
      <c r="B9" s="125" t="s">
        <v>184</v>
      </c>
    </row>
    <row r="11" ht="12.75">
      <c r="A11" s="124" t="s">
        <v>157</v>
      </c>
    </row>
    <row r="12" ht="12.75">
      <c r="A12" s="124" t="s">
        <v>185</v>
      </c>
    </row>
    <row r="13" spans="1:12" ht="12.75">
      <c r="A13" s="124" t="s">
        <v>158</v>
      </c>
      <c r="C13" s="125" t="s">
        <v>186</v>
      </c>
      <c r="D13" s="125" t="s">
        <v>187</v>
      </c>
      <c r="E13" s="125" t="s">
        <v>188</v>
      </c>
      <c r="F13" s="125" t="s">
        <v>189</v>
      </c>
      <c r="G13" s="125" t="s">
        <v>190</v>
      </c>
      <c r="H13" s="125" t="s">
        <v>191</v>
      </c>
      <c r="I13" s="125" t="s">
        <v>192</v>
      </c>
      <c r="J13" s="125" t="s">
        <v>193</v>
      </c>
      <c r="K13" s="125" t="s">
        <v>194</v>
      </c>
      <c r="L13" s="125" t="s">
        <v>195</v>
      </c>
    </row>
    <row r="14" spans="1:12" ht="12.75">
      <c r="A14" s="124" t="s">
        <v>196</v>
      </c>
      <c r="C14" s="125">
        <v>76482000</v>
      </c>
      <c r="D14" s="125">
        <v>64080000</v>
      </c>
      <c r="E14" s="125">
        <v>43890000</v>
      </c>
      <c r="F14" s="125">
        <v>33556000</v>
      </c>
      <c r="G14" s="125">
        <v>60194000</v>
      </c>
      <c r="H14" s="125">
        <v>38539000</v>
      </c>
      <c r="I14" s="125">
        <v>27792000</v>
      </c>
      <c r="J14" s="125">
        <v>21317000</v>
      </c>
      <c r="K14" s="125">
        <v>17545000</v>
      </c>
      <c r="L14" s="125">
        <v>13055000</v>
      </c>
    </row>
    <row r="15" spans="1:12" ht="12.75">
      <c r="A15" s="124" t="s">
        <v>197</v>
      </c>
      <c r="C15" s="125">
        <v>8924000</v>
      </c>
      <c r="D15" s="125">
        <v>8704000</v>
      </c>
      <c r="E15" s="125">
        <v>8735000</v>
      </c>
      <c r="F15" s="125">
        <v>7527000</v>
      </c>
      <c r="G15" s="125">
        <v>8195000</v>
      </c>
      <c r="H15" s="125">
        <v>7150000</v>
      </c>
      <c r="I15" s="125">
        <v>8231000</v>
      </c>
      <c r="J15" s="125">
        <v>7806000</v>
      </c>
      <c r="K15" s="125">
        <v>6976000</v>
      </c>
      <c r="L15" s="125">
        <v>6780000</v>
      </c>
    </row>
    <row r="16" spans="1:12" ht="12.75">
      <c r="A16" s="124" t="s">
        <v>198</v>
      </c>
      <c r="B16" s="125">
        <v>1</v>
      </c>
      <c r="C16" s="125">
        <v>3070000</v>
      </c>
      <c r="D16" s="125">
        <v>3028000</v>
      </c>
      <c r="E16" s="125">
        <v>3205000</v>
      </c>
      <c r="F16" s="125">
        <v>2933000</v>
      </c>
      <c r="G16" s="125">
        <v>2983000</v>
      </c>
      <c r="H16" s="125">
        <v>3598000</v>
      </c>
      <c r="I16" s="125">
        <v>5141000</v>
      </c>
      <c r="J16" s="125">
        <v>5521000</v>
      </c>
      <c r="K16" s="125" t="s">
        <v>159</v>
      </c>
      <c r="L16" s="125" t="s">
        <v>159</v>
      </c>
    </row>
    <row r="17" spans="1:12" ht="12.75">
      <c r="A17" s="124" t="s">
        <v>199</v>
      </c>
      <c r="C17" s="125" t="s">
        <v>159</v>
      </c>
      <c r="D17" s="125" t="s">
        <v>159</v>
      </c>
      <c r="E17" s="125" t="s">
        <v>159</v>
      </c>
      <c r="F17" s="125" t="s">
        <v>159</v>
      </c>
      <c r="G17" s="125" t="s">
        <v>159</v>
      </c>
      <c r="H17" s="125" t="s">
        <v>159</v>
      </c>
      <c r="I17" s="125" t="s">
        <v>159</v>
      </c>
      <c r="J17" s="125" t="s">
        <v>159</v>
      </c>
      <c r="K17" s="125" t="s">
        <v>159</v>
      </c>
      <c r="L17" s="125" t="s">
        <v>159</v>
      </c>
    </row>
    <row r="18" spans="1:12" ht="12.75">
      <c r="A18" s="124" t="s">
        <v>200</v>
      </c>
      <c r="C18" s="125">
        <v>2895000</v>
      </c>
      <c r="D18" s="125">
        <v>2404000</v>
      </c>
      <c r="E18" s="125">
        <v>2277000</v>
      </c>
      <c r="F18" s="125">
        <v>2165000</v>
      </c>
      <c r="G18" s="125">
        <v>2314000</v>
      </c>
      <c r="H18" s="125">
        <v>2596000</v>
      </c>
      <c r="I18" s="125">
        <v>3194000</v>
      </c>
      <c r="J18" s="125">
        <v>3281000</v>
      </c>
      <c r="K18" s="125" t="s">
        <v>159</v>
      </c>
      <c r="L18" s="125" t="s">
        <v>159</v>
      </c>
    </row>
    <row r="19" spans="1:12" ht="12.75">
      <c r="A19" s="124" t="s">
        <v>201</v>
      </c>
      <c r="C19" s="125">
        <v>-70000</v>
      </c>
      <c r="D19" s="125">
        <v>-959000</v>
      </c>
      <c r="E19" s="125">
        <v>-1087000</v>
      </c>
      <c r="F19" s="125">
        <v>-1218000</v>
      </c>
      <c r="G19" s="125">
        <v>-1473000</v>
      </c>
      <c r="H19" s="125">
        <v>-1620000</v>
      </c>
      <c r="I19" s="125">
        <v>-1937000</v>
      </c>
      <c r="J19" s="125">
        <v>-2095000</v>
      </c>
      <c r="K19" s="125" t="s">
        <v>159</v>
      </c>
      <c r="L19" s="125" t="s">
        <v>159</v>
      </c>
    </row>
    <row r="20" spans="1:12" ht="12.75">
      <c r="A20" s="124" t="s">
        <v>160</v>
      </c>
      <c r="C20" s="125">
        <v>5895000</v>
      </c>
      <c r="D20" s="125">
        <v>4473000</v>
      </c>
      <c r="E20" s="125">
        <v>4395000</v>
      </c>
      <c r="F20" s="125">
        <v>3880000</v>
      </c>
      <c r="G20" s="125">
        <v>3824000</v>
      </c>
      <c r="H20" s="125">
        <v>4574000</v>
      </c>
      <c r="I20" s="125">
        <v>6398000</v>
      </c>
      <c r="J20" s="125">
        <v>6707000</v>
      </c>
      <c r="K20" s="125">
        <v>6655000</v>
      </c>
      <c r="L20" s="125">
        <v>6486000</v>
      </c>
    </row>
    <row r="21" spans="1:12" ht="12.75">
      <c r="A21" s="124" t="s">
        <v>202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 t="s">
        <v>159</v>
      </c>
      <c r="L21" s="125" t="s">
        <v>159</v>
      </c>
    </row>
    <row r="22" spans="1:12" ht="12.75">
      <c r="A22" s="124" t="s">
        <v>161</v>
      </c>
      <c r="C22" s="125">
        <v>0</v>
      </c>
      <c r="D22" s="125">
        <v>0</v>
      </c>
      <c r="E22" s="125">
        <v>0</v>
      </c>
      <c r="F22" s="125">
        <v>0</v>
      </c>
      <c r="G22" s="125">
        <v>43463000</v>
      </c>
      <c r="H22" s="125">
        <v>26788000</v>
      </c>
      <c r="I22" s="125">
        <v>19402000</v>
      </c>
      <c r="J22" s="125">
        <v>23408000</v>
      </c>
      <c r="K22" s="125">
        <v>16020000</v>
      </c>
      <c r="L22" s="125">
        <v>13811000</v>
      </c>
    </row>
    <row r="23" spans="1:12" ht="12.75">
      <c r="A23" s="124" t="s">
        <v>162</v>
      </c>
      <c r="B23" s="125">
        <v>2</v>
      </c>
      <c r="C23" s="125">
        <v>91301000</v>
      </c>
      <c r="D23" s="125">
        <v>77257000</v>
      </c>
      <c r="E23" s="125">
        <v>57020000</v>
      </c>
      <c r="F23" s="125">
        <v>44963000</v>
      </c>
      <c r="G23" s="125">
        <v>115676000</v>
      </c>
      <c r="H23" s="125">
        <v>77051000</v>
      </c>
      <c r="I23" s="125">
        <v>61823000</v>
      </c>
      <c r="J23" s="125">
        <v>59238000</v>
      </c>
      <c r="K23" s="125">
        <v>47196000</v>
      </c>
      <c r="L23" s="125">
        <v>40132000</v>
      </c>
    </row>
    <row r="24" spans="1:12" ht="12.75">
      <c r="A24" s="124" t="s">
        <v>203</v>
      </c>
      <c r="C24" s="125">
        <v>10320000</v>
      </c>
      <c r="D24" s="125">
        <v>9148000</v>
      </c>
      <c r="E24" s="125">
        <v>9306000</v>
      </c>
      <c r="F24" s="125">
        <v>8905000</v>
      </c>
      <c r="G24" s="125">
        <v>11829000</v>
      </c>
      <c r="H24" s="125">
        <v>6268000</v>
      </c>
      <c r="I24" s="125">
        <v>2207000</v>
      </c>
      <c r="J24" s="125">
        <v>1921000</v>
      </c>
      <c r="K24" s="125" t="s">
        <v>159</v>
      </c>
      <c r="L24" s="125" t="s">
        <v>159</v>
      </c>
    </row>
    <row r="25" spans="1:12" ht="12.75">
      <c r="A25" s="124" t="s">
        <v>204</v>
      </c>
      <c r="C25" s="125">
        <v>5983000</v>
      </c>
      <c r="D25" s="125">
        <v>6442000</v>
      </c>
      <c r="E25" s="125">
        <v>4767000</v>
      </c>
      <c r="F25" s="125">
        <v>4043000</v>
      </c>
      <c r="G25" s="125">
        <v>3415000</v>
      </c>
      <c r="H25" s="125">
        <v>3021000</v>
      </c>
      <c r="I25" s="125">
        <v>3271000</v>
      </c>
      <c r="J25" s="125">
        <v>2956000</v>
      </c>
      <c r="K25" s="125" t="s">
        <v>159</v>
      </c>
      <c r="L25" s="125" t="s">
        <v>159</v>
      </c>
    </row>
    <row r="26" spans="1:12" ht="12.75">
      <c r="A26" s="124" t="s">
        <v>205</v>
      </c>
      <c r="C26" s="125">
        <v>121454000</v>
      </c>
      <c r="D26" s="125">
        <v>115132000</v>
      </c>
      <c r="E26" s="125">
        <v>105689000</v>
      </c>
      <c r="F26" s="125">
        <v>82120000</v>
      </c>
      <c r="G26" s="125">
        <v>79564000</v>
      </c>
      <c r="H26" s="125">
        <v>67413000</v>
      </c>
      <c r="I26" s="125">
        <v>62897000</v>
      </c>
      <c r="J26" s="125">
        <v>57298000</v>
      </c>
      <c r="K26" s="125" t="s">
        <v>159</v>
      </c>
      <c r="L26" s="125" t="s">
        <v>159</v>
      </c>
    </row>
    <row r="27" spans="1:12" ht="12.75">
      <c r="A27" s="124" t="s">
        <v>206</v>
      </c>
      <c r="C27" s="125">
        <v>55657000</v>
      </c>
      <c r="D27" s="125">
        <v>50784000</v>
      </c>
      <c r="E27" s="125">
        <v>45946000</v>
      </c>
      <c r="F27" s="125">
        <v>41670000</v>
      </c>
      <c r="G27" s="125">
        <v>38179000</v>
      </c>
      <c r="H27" s="125">
        <v>35655000</v>
      </c>
      <c r="I27" s="125">
        <v>34004000</v>
      </c>
      <c r="J27" s="125">
        <v>30572000</v>
      </c>
      <c r="K27" s="125">
        <v>28468000</v>
      </c>
      <c r="L27" s="125">
        <v>25168000</v>
      </c>
    </row>
    <row r="28" spans="1:12" ht="12.75">
      <c r="A28" s="124" t="s">
        <v>207</v>
      </c>
      <c r="C28" s="125">
        <v>23341000</v>
      </c>
      <c r="D28" s="125">
        <v>21989000</v>
      </c>
      <c r="E28" s="125">
        <v>20267000</v>
      </c>
      <c r="F28" s="125">
        <v>18205000</v>
      </c>
      <c r="G28" s="125">
        <v>16951000</v>
      </c>
      <c r="H28" s="125">
        <v>15268000</v>
      </c>
      <c r="I28" s="125">
        <v>15028000</v>
      </c>
      <c r="J28" s="125">
        <v>13941000</v>
      </c>
      <c r="K28" s="125">
        <v>12822000</v>
      </c>
      <c r="L28" s="125">
        <v>11557000</v>
      </c>
    </row>
    <row r="29" spans="1:12" ht="12.75">
      <c r="A29" s="124" t="s">
        <v>208</v>
      </c>
      <c r="C29" s="125">
        <v>32316000</v>
      </c>
      <c r="D29" s="125">
        <v>28795000</v>
      </c>
      <c r="E29" s="125">
        <v>25679000</v>
      </c>
      <c r="F29" s="125">
        <v>23465000</v>
      </c>
      <c r="G29" s="125">
        <v>21228000</v>
      </c>
      <c r="H29" s="125">
        <v>20387000</v>
      </c>
      <c r="I29" s="125">
        <v>18976000</v>
      </c>
      <c r="J29" s="125">
        <v>16631000</v>
      </c>
      <c r="K29" s="125">
        <v>15646000</v>
      </c>
      <c r="L29" s="125">
        <v>13611000</v>
      </c>
    </row>
    <row r="30" spans="1:12" ht="12.75">
      <c r="A30" s="124" t="s">
        <v>209</v>
      </c>
      <c r="C30" s="125">
        <v>9095000</v>
      </c>
      <c r="D30" s="125">
        <v>7832000</v>
      </c>
      <c r="E30" s="125">
        <v>1336000</v>
      </c>
      <c r="F30" s="125">
        <v>1290000</v>
      </c>
      <c r="G30" s="125">
        <v>987000</v>
      </c>
      <c r="H30" s="125">
        <v>720000</v>
      </c>
      <c r="I30" s="125" t="s">
        <v>159</v>
      </c>
      <c r="J30" s="125" t="s">
        <v>159</v>
      </c>
      <c r="K30" s="125" t="s">
        <v>159</v>
      </c>
      <c r="L30" s="125" t="s">
        <v>159</v>
      </c>
    </row>
    <row r="31" spans="1:12" ht="12.75">
      <c r="A31" s="124" t="s">
        <v>210</v>
      </c>
      <c r="B31" s="125">
        <v>3</v>
      </c>
      <c r="C31" s="125">
        <v>14422000</v>
      </c>
      <c r="D31" s="125">
        <v>11789000</v>
      </c>
      <c r="E31" s="125">
        <v>10896000</v>
      </c>
      <c r="F31" s="125">
        <v>18325000</v>
      </c>
      <c r="G31" s="125">
        <v>8443000</v>
      </c>
      <c r="H31" s="125">
        <v>8506000</v>
      </c>
      <c r="I31" s="125">
        <v>9276000</v>
      </c>
      <c r="J31" s="125">
        <v>6507000</v>
      </c>
      <c r="K31" s="125" t="s">
        <v>159</v>
      </c>
      <c r="L31" s="125" t="s">
        <v>159</v>
      </c>
    </row>
    <row r="32" spans="1:12" ht="12.75">
      <c r="A32" s="124" t="s">
        <v>211</v>
      </c>
      <c r="C32" s="125">
        <v>19121000</v>
      </c>
      <c r="D32" s="125">
        <v>16007000</v>
      </c>
      <c r="E32" s="125">
        <v>13342000</v>
      </c>
      <c r="F32" s="125">
        <v>11373000</v>
      </c>
      <c r="G32" s="125">
        <v>10364000</v>
      </c>
      <c r="H32" s="125">
        <v>9510000</v>
      </c>
      <c r="I32" s="125">
        <v>9809000</v>
      </c>
      <c r="J32" s="125">
        <v>9333000</v>
      </c>
      <c r="K32" s="125" t="s">
        <v>159</v>
      </c>
      <c r="L32" s="125" t="s">
        <v>159</v>
      </c>
    </row>
    <row r="33" spans="1:12" ht="12.75">
      <c r="A33" s="124" t="s">
        <v>212</v>
      </c>
      <c r="C33" s="125">
        <v>42638000</v>
      </c>
      <c r="D33" s="125">
        <v>35628000</v>
      </c>
      <c r="E33" s="125">
        <v>25574000</v>
      </c>
      <c r="F33" s="125">
        <v>30988000</v>
      </c>
      <c r="G33" s="125">
        <v>19794000</v>
      </c>
      <c r="H33" s="125">
        <v>18736000</v>
      </c>
      <c r="I33" s="125">
        <v>19085000</v>
      </c>
      <c r="J33" s="125">
        <v>15840000</v>
      </c>
      <c r="K33" s="125">
        <v>65502000</v>
      </c>
      <c r="L33" s="125">
        <v>57122000</v>
      </c>
    </row>
    <row r="34" spans="1:12" ht="12.75">
      <c r="A34" s="124" t="s">
        <v>163</v>
      </c>
      <c r="C34" s="125">
        <v>304012000</v>
      </c>
      <c r="D34" s="125">
        <v>272402000</v>
      </c>
      <c r="E34" s="125">
        <v>228035000</v>
      </c>
      <c r="F34" s="125">
        <v>194484000</v>
      </c>
      <c r="G34" s="125">
        <v>251506000</v>
      </c>
      <c r="H34" s="125">
        <v>192876000</v>
      </c>
      <c r="I34" s="125">
        <v>168259000</v>
      </c>
      <c r="J34" s="125">
        <v>153884000</v>
      </c>
      <c r="K34" s="125">
        <v>128344000</v>
      </c>
      <c r="L34" s="125">
        <v>110865000</v>
      </c>
    </row>
    <row r="36" ht="12.75">
      <c r="A36" s="124" t="s">
        <v>213</v>
      </c>
    </row>
    <row r="37" spans="1:12" ht="12.75">
      <c r="A37" s="124" t="s">
        <v>158</v>
      </c>
      <c r="C37" s="125" t="s">
        <v>186</v>
      </c>
      <c r="D37" s="125" t="s">
        <v>187</v>
      </c>
      <c r="E37" s="125" t="s">
        <v>188</v>
      </c>
      <c r="F37" s="125" t="s">
        <v>189</v>
      </c>
      <c r="G37" s="125" t="s">
        <v>190</v>
      </c>
      <c r="H37" s="125" t="s">
        <v>191</v>
      </c>
      <c r="I37" s="125" t="s">
        <v>192</v>
      </c>
      <c r="J37" s="125" t="s">
        <v>193</v>
      </c>
      <c r="K37" s="125" t="s">
        <v>194</v>
      </c>
      <c r="L37" s="125" t="s">
        <v>195</v>
      </c>
    </row>
    <row r="38" spans="1:12" ht="12.75">
      <c r="A38" s="124" t="s">
        <v>164</v>
      </c>
      <c r="C38" s="125">
        <v>10407000</v>
      </c>
      <c r="D38" s="125">
        <v>10205000</v>
      </c>
      <c r="E38" s="125">
        <v>9061000</v>
      </c>
      <c r="F38" s="125">
        <v>8831000</v>
      </c>
      <c r="G38" s="125">
        <v>11956000</v>
      </c>
      <c r="H38" s="125">
        <v>8245000</v>
      </c>
      <c r="I38" s="125">
        <v>8205000</v>
      </c>
      <c r="J38" s="125">
        <v>7051000</v>
      </c>
      <c r="K38" s="125" t="s">
        <v>159</v>
      </c>
      <c r="L38" s="125" t="s">
        <v>159</v>
      </c>
    </row>
    <row r="39" spans="1:12" ht="12.75">
      <c r="A39" s="124" t="s">
        <v>214</v>
      </c>
      <c r="C39" s="125">
        <v>98075000</v>
      </c>
      <c r="D39" s="125">
        <v>80200000</v>
      </c>
      <c r="E39" s="125">
        <v>64463000</v>
      </c>
      <c r="F39" s="125">
        <v>57781000</v>
      </c>
      <c r="G39" s="125">
        <v>62135000</v>
      </c>
      <c r="H39" s="125">
        <v>56389000</v>
      </c>
      <c r="I39" s="125">
        <v>51350000</v>
      </c>
      <c r="J39" s="125">
        <v>42920000</v>
      </c>
      <c r="K39" s="125">
        <v>37200000</v>
      </c>
      <c r="L39" s="125">
        <v>30422000</v>
      </c>
    </row>
    <row r="40" spans="1:12" ht="12.75">
      <c r="A40" s="124" t="s">
        <v>215</v>
      </c>
      <c r="C40" s="125">
        <v>1321000</v>
      </c>
      <c r="D40" s="125">
        <v>1315000</v>
      </c>
      <c r="E40" s="125">
        <v>1233000</v>
      </c>
      <c r="F40" s="125">
        <v>1191000</v>
      </c>
      <c r="G40" s="125">
        <v>1311000</v>
      </c>
      <c r="H40" s="125">
        <v>705000</v>
      </c>
      <c r="I40" s="125">
        <v>983000</v>
      </c>
      <c r="J40" s="125">
        <v>976000</v>
      </c>
      <c r="K40" s="125" t="s">
        <v>159</v>
      </c>
      <c r="L40" s="125" t="s">
        <v>159</v>
      </c>
    </row>
    <row r="41" spans="1:12" ht="12.75">
      <c r="A41" s="124" t="s">
        <v>216</v>
      </c>
      <c r="C41" s="125">
        <v>979000</v>
      </c>
      <c r="D41" s="125">
        <v>855000</v>
      </c>
      <c r="E41" s="125">
        <v>767000</v>
      </c>
      <c r="F41" s="125">
        <v>699000</v>
      </c>
      <c r="G41" s="125">
        <v>615000</v>
      </c>
      <c r="H41" s="125">
        <v>539000</v>
      </c>
      <c r="I41" s="125">
        <v>477000</v>
      </c>
      <c r="J41" s="125">
        <v>445000</v>
      </c>
      <c r="K41" s="125" t="s">
        <v>159</v>
      </c>
      <c r="L41" s="125" t="s">
        <v>159</v>
      </c>
    </row>
    <row r="42" spans="1:12" ht="12.75">
      <c r="A42" s="124" t="s">
        <v>217</v>
      </c>
      <c r="C42" s="125">
        <v>2866000</v>
      </c>
      <c r="D42" s="125">
        <v>2487000</v>
      </c>
      <c r="E42" s="125">
        <v>1598000</v>
      </c>
      <c r="F42" s="125">
        <v>1238000</v>
      </c>
      <c r="G42" s="125">
        <v>1664000</v>
      </c>
      <c r="H42" s="125">
        <v>1460000</v>
      </c>
      <c r="I42" s="125">
        <v>1376000</v>
      </c>
      <c r="J42" s="125">
        <v>1634000</v>
      </c>
      <c r="K42" s="125" t="s">
        <v>159</v>
      </c>
      <c r="L42" s="125" t="s">
        <v>159</v>
      </c>
    </row>
    <row r="43" spans="1:12" ht="12.75">
      <c r="A43" s="124" t="s">
        <v>218</v>
      </c>
      <c r="C43" s="125">
        <v>7020000</v>
      </c>
      <c r="D43" s="125">
        <v>5445000</v>
      </c>
      <c r="E43" s="125">
        <v>4879000</v>
      </c>
      <c r="F43" s="125">
        <v>3114000</v>
      </c>
      <c r="G43" s="125">
        <v>78048000</v>
      </c>
      <c r="H43" s="125">
        <v>53137000</v>
      </c>
      <c r="I43" s="125">
        <v>40220000</v>
      </c>
      <c r="J43" s="125">
        <v>39996000</v>
      </c>
      <c r="K43" s="125">
        <v>36702000</v>
      </c>
      <c r="L43" s="125">
        <v>31378000</v>
      </c>
    </row>
    <row r="44" spans="1:12" ht="12.75">
      <c r="A44" s="124" t="s">
        <v>219</v>
      </c>
      <c r="B44" s="125">
        <v>4</v>
      </c>
      <c r="C44" s="125">
        <v>120668000</v>
      </c>
      <c r="D44" s="125">
        <v>100507000</v>
      </c>
      <c r="E44" s="125">
        <v>82001000</v>
      </c>
      <c r="F44" s="125">
        <v>72854000</v>
      </c>
      <c r="G44" s="125">
        <v>155729000</v>
      </c>
      <c r="H44" s="125">
        <v>120475000</v>
      </c>
      <c r="I44" s="125">
        <v>102611000</v>
      </c>
      <c r="J44" s="125">
        <v>93022000</v>
      </c>
      <c r="K44" s="125">
        <v>73902000</v>
      </c>
      <c r="L44" s="125">
        <v>61800000</v>
      </c>
    </row>
    <row r="45" spans="1:12" ht="12.75">
      <c r="A45" s="124" t="s">
        <v>166</v>
      </c>
      <c r="C45" s="125">
        <v>46603000</v>
      </c>
      <c r="D45" s="125">
        <v>49246000</v>
      </c>
      <c r="E45" s="125">
        <v>51027000</v>
      </c>
      <c r="F45" s="125">
        <v>36979000</v>
      </c>
      <c r="G45" s="125">
        <v>28270000</v>
      </c>
      <c r="H45" s="125">
        <v>25376000</v>
      </c>
      <c r="I45" s="125">
        <v>22682000</v>
      </c>
      <c r="J45" s="125">
        <v>21043000</v>
      </c>
      <c r="K45" s="125">
        <v>16110000</v>
      </c>
      <c r="L45" s="125">
        <v>15082000</v>
      </c>
    </row>
    <row r="46" spans="1:12" ht="12.75">
      <c r="A46" s="124" t="s">
        <v>220</v>
      </c>
      <c r="C46" s="125">
        <v>5484000</v>
      </c>
      <c r="D46" s="125">
        <v>5177000</v>
      </c>
      <c r="E46" s="125">
        <v>4858000</v>
      </c>
      <c r="F46" s="125">
        <v>4632000</v>
      </c>
      <c r="G46" s="125">
        <v>4507000</v>
      </c>
      <c r="H46" s="125">
        <v>0</v>
      </c>
      <c r="I46" s="125">
        <v>0</v>
      </c>
      <c r="J46" s="125">
        <v>0</v>
      </c>
      <c r="K46" s="125" t="s">
        <v>159</v>
      </c>
      <c r="L46" s="125" t="s">
        <v>159</v>
      </c>
    </row>
    <row r="47" spans="1:12" ht="12.75">
      <c r="A47" s="124" t="s">
        <v>221</v>
      </c>
      <c r="C47" s="125" t="s">
        <v>159</v>
      </c>
      <c r="D47" s="125" t="s">
        <v>159</v>
      </c>
      <c r="E47" s="125" t="s">
        <v>159</v>
      </c>
      <c r="F47" s="125" t="s">
        <v>159</v>
      </c>
      <c r="G47" s="125" t="s">
        <v>159</v>
      </c>
      <c r="H47" s="125" t="s">
        <v>159</v>
      </c>
      <c r="I47" s="125" t="s">
        <v>159</v>
      </c>
      <c r="J47" s="125" t="s">
        <v>159</v>
      </c>
      <c r="K47" s="125" t="s">
        <v>159</v>
      </c>
      <c r="L47" s="125" t="s">
        <v>159</v>
      </c>
    </row>
    <row r="48" spans="1:12" ht="12.75">
      <c r="A48" s="124" t="s">
        <v>222</v>
      </c>
      <c r="C48" s="125">
        <v>8651000</v>
      </c>
      <c r="D48" s="125">
        <v>8273000</v>
      </c>
      <c r="E48" s="125">
        <v>7380000</v>
      </c>
      <c r="F48" s="125">
        <v>5205000</v>
      </c>
      <c r="G48" s="125">
        <v>5109000</v>
      </c>
      <c r="H48" s="125">
        <v>4540000</v>
      </c>
      <c r="I48" s="125">
        <v>3808000</v>
      </c>
      <c r="J48" s="125">
        <v>3812000</v>
      </c>
      <c r="K48" s="125" t="s">
        <v>159</v>
      </c>
      <c r="L48" s="125" t="s">
        <v>159</v>
      </c>
    </row>
    <row r="49" spans="1:12" ht="12.75">
      <c r="A49" s="124" t="s">
        <v>223</v>
      </c>
      <c r="C49" s="125" t="s">
        <v>159</v>
      </c>
      <c r="D49" s="125" t="s">
        <v>159</v>
      </c>
      <c r="E49" s="125" t="s">
        <v>159</v>
      </c>
      <c r="F49" s="125" t="s">
        <v>159</v>
      </c>
      <c r="G49" s="125" t="s">
        <v>159</v>
      </c>
      <c r="H49" s="125" t="s">
        <v>159</v>
      </c>
      <c r="I49" s="125" t="s">
        <v>159</v>
      </c>
      <c r="J49" s="125" t="s">
        <v>159</v>
      </c>
      <c r="K49" s="125" t="s">
        <v>159</v>
      </c>
      <c r="L49" s="125" t="s">
        <v>159</v>
      </c>
    </row>
    <row r="50" spans="1:12" ht="12.75">
      <c r="A50" s="124" t="s">
        <v>224</v>
      </c>
      <c r="C50" s="125">
        <v>84486000</v>
      </c>
      <c r="D50" s="125">
        <v>75067000</v>
      </c>
      <c r="E50" s="125">
        <v>50204000</v>
      </c>
      <c r="F50" s="125">
        <v>46580000</v>
      </c>
      <c r="G50" s="125">
        <v>30411000</v>
      </c>
      <c r="H50" s="125">
        <v>17682000</v>
      </c>
      <c r="I50" s="125">
        <v>16256000</v>
      </c>
      <c r="J50" s="125">
        <v>13116000</v>
      </c>
      <c r="K50" s="125">
        <v>16441000</v>
      </c>
      <c r="L50" s="125">
        <v>14536000</v>
      </c>
    </row>
    <row r="51" spans="1:12" ht="12.75">
      <c r="A51" s="124" t="s">
        <v>225</v>
      </c>
      <c r="C51" s="125">
        <v>2138000</v>
      </c>
      <c r="D51" s="125">
        <v>671000</v>
      </c>
      <c r="E51" s="125">
        <v>1000000</v>
      </c>
      <c r="F51" s="125">
        <v>-810000</v>
      </c>
      <c r="G51" s="125">
        <v>812000</v>
      </c>
      <c r="H51" s="125">
        <v>30000</v>
      </c>
      <c r="I51" s="125">
        <v>45000</v>
      </c>
      <c r="J51" s="125">
        <v>-33000</v>
      </c>
      <c r="K51" s="125" t="s">
        <v>159</v>
      </c>
      <c r="L51" s="125" t="s">
        <v>159</v>
      </c>
    </row>
    <row r="52" spans="1:12" ht="12.75">
      <c r="A52" s="124" t="s">
        <v>167</v>
      </c>
      <c r="C52" s="125">
        <v>265892000</v>
      </c>
      <c r="D52" s="125">
        <v>238270000</v>
      </c>
      <c r="E52" s="125">
        <v>195470000</v>
      </c>
      <c r="F52" s="125">
        <v>166250000</v>
      </c>
      <c r="G52" s="125">
        <v>224026000</v>
      </c>
      <c r="H52" s="125">
        <v>168073000</v>
      </c>
      <c r="I52" s="125">
        <v>145357000</v>
      </c>
      <c r="J52" s="125">
        <v>130993000</v>
      </c>
      <c r="K52" s="125">
        <v>106453000</v>
      </c>
      <c r="L52" s="125">
        <v>91418000</v>
      </c>
    </row>
    <row r="53" spans="1:12" ht="12.75">
      <c r="A53" s="124" t="s">
        <v>226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 t="s">
        <v>159</v>
      </c>
      <c r="L53" s="125" t="s">
        <v>159</v>
      </c>
    </row>
    <row r="54" spans="1:12" ht="12.75">
      <c r="A54" s="124" t="s">
        <v>227</v>
      </c>
      <c r="C54" s="125">
        <v>3682000</v>
      </c>
      <c r="D54" s="125">
        <v>3007000</v>
      </c>
      <c r="E54" s="125">
        <v>2956000</v>
      </c>
      <c r="F54" s="125">
        <v>1847000</v>
      </c>
      <c r="G54" s="125">
        <v>1656000</v>
      </c>
      <c r="H54" s="125">
        <v>1344000</v>
      </c>
      <c r="I54" s="125">
        <v>1219000</v>
      </c>
      <c r="J54" s="125">
        <v>1211000</v>
      </c>
      <c r="K54" s="125">
        <v>1001000</v>
      </c>
      <c r="L54" s="125">
        <v>981000</v>
      </c>
    </row>
    <row r="55" spans="1:12" ht="12.75">
      <c r="A55" s="124" t="s">
        <v>168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</row>
    <row r="56" spans="1:12" ht="12.75">
      <c r="A56" s="124" t="s">
        <v>228</v>
      </c>
      <c r="C56" s="125">
        <v>594000</v>
      </c>
      <c r="D56" s="125">
        <v>594000</v>
      </c>
      <c r="E56" s="125">
        <v>594000</v>
      </c>
      <c r="F56" s="125">
        <v>594000</v>
      </c>
      <c r="G56" s="125">
        <v>584000</v>
      </c>
      <c r="H56" s="125">
        <v>584000</v>
      </c>
      <c r="I56" s="125">
        <v>584000</v>
      </c>
      <c r="J56" s="125">
        <v>584000</v>
      </c>
      <c r="K56" s="125" t="s">
        <v>159</v>
      </c>
      <c r="L56" s="125" t="s">
        <v>159</v>
      </c>
    </row>
    <row r="57" spans="1:12" ht="12.75">
      <c r="A57" s="124" t="s">
        <v>169</v>
      </c>
      <c r="C57" s="125">
        <v>2838000</v>
      </c>
      <c r="D57" s="125">
        <v>2442000</v>
      </c>
      <c r="E57" s="125">
        <v>1602000</v>
      </c>
      <c r="F57" s="125">
        <v>1188000</v>
      </c>
      <c r="G57" s="125">
        <v>865000</v>
      </c>
      <c r="H57" s="125">
        <v>934000</v>
      </c>
      <c r="I57" s="125">
        <v>1068000</v>
      </c>
      <c r="J57" s="125">
        <v>810000</v>
      </c>
      <c r="K57" s="125" t="s">
        <v>159</v>
      </c>
      <c r="L57" s="125" t="s">
        <v>159</v>
      </c>
    </row>
    <row r="58" spans="1:12" ht="12.75">
      <c r="A58" s="124" t="s">
        <v>229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 t="s">
        <v>159</v>
      </c>
      <c r="L58" s="125" t="s">
        <v>159</v>
      </c>
    </row>
    <row r="59" spans="1:12" ht="12.75">
      <c r="A59" s="124" t="s">
        <v>230</v>
      </c>
      <c r="C59" s="125" t="s">
        <v>159</v>
      </c>
      <c r="D59" s="125" t="s">
        <v>159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 t="s">
        <v>159</v>
      </c>
      <c r="L59" s="125" t="s">
        <v>159</v>
      </c>
    </row>
    <row r="60" spans="1:12" ht="12.75">
      <c r="A60" s="124" t="s">
        <v>231</v>
      </c>
      <c r="C60" s="125" t="s">
        <v>159</v>
      </c>
      <c r="D60" s="125" t="s">
        <v>159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 t="s">
        <v>159</v>
      </c>
      <c r="L60" s="125" t="s">
        <v>159</v>
      </c>
    </row>
    <row r="61" spans="1:12" ht="12.75">
      <c r="A61" s="124" t="s">
        <v>170</v>
      </c>
      <c r="C61" s="125">
        <v>43338000</v>
      </c>
      <c r="D61" s="125">
        <v>38670000</v>
      </c>
      <c r="E61" s="125">
        <v>34528000</v>
      </c>
      <c r="F61" s="125">
        <v>30793000</v>
      </c>
      <c r="G61" s="125">
        <v>28613000</v>
      </c>
      <c r="H61" s="125">
        <v>26527000</v>
      </c>
      <c r="I61" s="125">
        <v>23787000</v>
      </c>
      <c r="J61" s="125">
        <v>22959000</v>
      </c>
      <c r="K61" s="125" t="s">
        <v>159</v>
      </c>
      <c r="L61" s="125" t="s">
        <v>159</v>
      </c>
    </row>
    <row r="62" spans="1:12" ht="12.75">
      <c r="A62" s="124" t="s">
        <v>232</v>
      </c>
      <c r="C62" s="125" t="s">
        <v>159</v>
      </c>
      <c r="D62" s="125" t="s">
        <v>159</v>
      </c>
      <c r="E62" s="125" t="s">
        <v>159</v>
      </c>
      <c r="F62" s="125" t="s">
        <v>159</v>
      </c>
      <c r="G62" s="125" t="s">
        <v>159</v>
      </c>
      <c r="H62" s="125" t="s">
        <v>159</v>
      </c>
      <c r="I62" s="125" t="s">
        <v>159</v>
      </c>
      <c r="J62" s="125" t="s">
        <v>159</v>
      </c>
      <c r="K62" s="125" t="s">
        <v>159</v>
      </c>
      <c r="L62" s="125" t="s">
        <v>159</v>
      </c>
    </row>
    <row r="63" spans="1:12" ht="12.75">
      <c r="A63" s="124" t="s">
        <v>233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 t="s">
        <v>159</v>
      </c>
      <c r="L63" s="125" t="s">
        <v>159</v>
      </c>
    </row>
    <row r="64" spans="1:12" ht="12.75">
      <c r="A64" s="124" t="s">
        <v>234</v>
      </c>
      <c r="C64" s="125">
        <v>798000</v>
      </c>
      <c r="D64" s="125">
        <v>56000</v>
      </c>
      <c r="E64" s="125">
        <v>61000</v>
      </c>
      <c r="F64" s="125">
        <v>-66000</v>
      </c>
      <c r="G64" s="125">
        <v>-279000</v>
      </c>
      <c r="H64" s="125">
        <v>-209000</v>
      </c>
      <c r="I64" s="125">
        <v>-175000</v>
      </c>
      <c r="J64" s="125">
        <v>284000</v>
      </c>
      <c r="K64" s="125" t="s">
        <v>159</v>
      </c>
      <c r="L64" s="125" t="s">
        <v>159</v>
      </c>
    </row>
    <row r="65" spans="1:12" ht="12.75">
      <c r="A65" s="124" t="s">
        <v>171</v>
      </c>
      <c r="C65" s="125">
        <v>15268000</v>
      </c>
      <c r="D65" s="125">
        <v>11308000</v>
      </c>
      <c r="E65" s="125">
        <v>8176000</v>
      </c>
      <c r="F65" s="125">
        <v>5312000</v>
      </c>
      <c r="G65" s="125">
        <v>4771000</v>
      </c>
      <c r="H65" s="125">
        <v>4407000</v>
      </c>
      <c r="I65" s="125">
        <v>3626000</v>
      </c>
      <c r="J65" s="125">
        <v>2924000</v>
      </c>
      <c r="K65" s="125" t="s">
        <v>159</v>
      </c>
      <c r="L65" s="125" t="s">
        <v>159</v>
      </c>
    </row>
    <row r="66" spans="1:12" ht="12.75">
      <c r="A66" s="124" t="s">
        <v>235</v>
      </c>
      <c r="C66" s="125">
        <v>34438000</v>
      </c>
      <c r="D66" s="125">
        <v>31125000</v>
      </c>
      <c r="E66" s="125">
        <v>29609000</v>
      </c>
      <c r="F66" s="125">
        <v>26387000</v>
      </c>
      <c r="G66" s="125">
        <v>25824000</v>
      </c>
      <c r="H66" s="125">
        <v>23459000</v>
      </c>
      <c r="I66" s="125">
        <v>21683000</v>
      </c>
      <c r="J66" s="125">
        <v>21680000</v>
      </c>
      <c r="K66" s="125">
        <v>20890000</v>
      </c>
      <c r="L66" s="125">
        <v>18466000</v>
      </c>
    </row>
    <row r="67" spans="1:12" ht="12.75">
      <c r="A67" s="124" t="s">
        <v>236</v>
      </c>
      <c r="C67" s="125">
        <v>304012000</v>
      </c>
      <c r="D67" s="125">
        <v>272402000</v>
      </c>
      <c r="E67" s="125">
        <v>228035000</v>
      </c>
      <c r="F67" s="125">
        <v>194484000</v>
      </c>
      <c r="G67" s="125">
        <v>251506000</v>
      </c>
      <c r="H67" s="125">
        <v>192876000</v>
      </c>
      <c r="I67" s="125">
        <v>168259000</v>
      </c>
      <c r="J67" s="125">
        <v>153884000</v>
      </c>
      <c r="K67" s="125">
        <v>128344000</v>
      </c>
      <c r="L67" s="125">
        <v>110865000</v>
      </c>
    </row>
    <row r="69" ht="12.75">
      <c r="A69" s="124" t="s">
        <v>237</v>
      </c>
    </row>
    <row r="70" spans="1:12" ht="12.75">
      <c r="A70" s="124" t="s">
        <v>158</v>
      </c>
      <c r="C70" s="125" t="s">
        <v>186</v>
      </c>
      <c r="D70" s="125" t="s">
        <v>187</v>
      </c>
      <c r="E70" s="125" t="s">
        <v>188</v>
      </c>
      <c r="F70" s="125" t="s">
        <v>189</v>
      </c>
      <c r="G70" s="125" t="s">
        <v>190</v>
      </c>
      <c r="H70" s="125" t="s">
        <v>191</v>
      </c>
      <c r="I70" s="125" t="s">
        <v>192</v>
      </c>
      <c r="J70" s="125" t="s">
        <v>193</v>
      </c>
      <c r="K70" s="125" t="s">
        <v>194</v>
      </c>
      <c r="L70" s="125" t="s">
        <v>195</v>
      </c>
    </row>
    <row r="71" spans="1:12" ht="12.75">
      <c r="A71" s="124" t="s">
        <v>238</v>
      </c>
      <c r="B71" s="125">
        <v>5</v>
      </c>
      <c r="C71" s="125">
        <v>90777000</v>
      </c>
      <c r="D71" s="125">
        <v>79082000</v>
      </c>
      <c r="E71" s="125">
        <v>69948000</v>
      </c>
      <c r="F71" s="125">
        <v>60026000</v>
      </c>
      <c r="G71" s="125">
        <v>59827000</v>
      </c>
      <c r="H71" s="125">
        <v>56274000</v>
      </c>
      <c r="I71" s="125">
        <v>59379000</v>
      </c>
      <c r="J71" s="125">
        <v>57662000</v>
      </c>
      <c r="K71" s="125">
        <v>53884000</v>
      </c>
      <c r="L71" s="125">
        <v>49414000</v>
      </c>
    </row>
    <row r="72" spans="1:12" ht="12.75">
      <c r="A72" s="124" t="s">
        <v>239</v>
      </c>
      <c r="C72" s="125">
        <v>34724000</v>
      </c>
      <c r="D72" s="125">
        <v>28637000</v>
      </c>
      <c r="E72" s="125">
        <v>26736000</v>
      </c>
      <c r="F72" s="125">
        <v>23748000</v>
      </c>
      <c r="G72" s="125">
        <v>19232000</v>
      </c>
      <c r="H72" s="125">
        <v>18890000</v>
      </c>
      <c r="I72" s="125">
        <v>21803000</v>
      </c>
      <c r="J72" s="125">
        <v>21982000</v>
      </c>
      <c r="K72" s="125">
        <v>20031000</v>
      </c>
      <c r="L72" s="125">
        <v>28831000</v>
      </c>
    </row>
    <row r="73" spans="1:12" ht="12.75">
      <c r="A73" s="124" t="s">
        <v>240</v>
      </c>
      <c r="C73" s="125">
        <v>51971000</v>
      </c>
      <c r="D73" s="125">
        <v>46660000</v>
      </c>
      <c r="E73" s="125">
        <v>39618000</v>
      </c>
      <c r="F73" s="125">
        <v>33071000</v>
      </c>
      <c r="G73" s="125">
        <v>37334000</v>
      </c>
      <c r="H73" s="125">
        <v>34566000</v>
      </c>
      <c r="I73" s="125">
        <v>34744000</v>
      </c>
      <c r="J73" s="125">
        <v>33172000</v>
      </c>
      <c r="K73" s="125">
        <v>31597000</v>
      </c>
      <c r="L73" s="125">
        <v>18317000</v>
      </c>
    </row>
    <row r="74" spans="1:12" ht="12.75">
      <c r="A74" s="124" t="s">
        <v>173</v>
      </c>
      <c r="C74" s="125">
        <v>4082000</v>
      </c>
      <c r="D74" s="125">
        <v>3785000</v>
      </c>
      <c r="E74" s="125">
        <v>3594000</v>
      </c>
      <c r="F74" s="125">
        <v>3207000</v>
      </c>
      <c r="G74" s="125">
        <v>3261000</v>
      </c>
      <c r="H74" s="125">
        <v>2818000</v>
      </c>
      <c r="I74" s="125">
        <v>2832000</v>
      </c>
      <c r="J74" s="125">
        <v>2508000</v>
      </c>
      <c r="K74" s="125">
        <v>2256000</v>
      </c>
      <c r="L74" s="125">
        <v>2266000</v>
      </c>
    </row>
    <row r="75" spans="1:12" ht="12.75">
      <c r="A75" s="124" t="s">
        <v>172</v>
      </c>
      <c r="C75" s="125">
        <v>9367000</v>
      </c>
      <c r="D75" s="125">
        <v>8160000</v>
      </c>
      <c r="E75" s="125">
        <v>7042000</v>
      </c>
      <c r="F75" s="125">
        <v>6387000</v>
      </c>
      <c r="G75" s="125">
        <v>6421000</v>
      </c>
      <c r="H75" s="125">
        <v>6672000</v>
      </c>
      <c r="I75" s="125">
        <v>7937000</v>
      </c>
      <c r="J75" s="125">
        <v>6894000</v>
      </c>
      <c r="K75" s="125">
        <v>6873000</v>
      </c>
      <c r="L75" s="125">
        <v>7399000</v>
      </c>
    </row>
    <row r="76" spans="1:12" ht="12.75">
      <c r="A76" s="124" t="s">
        <v>241</v>
      </c>
      <c r="C76" s="125">
        <v>0</v>
      </c>
      <c r="D76" s="125">
        <v>0</v>
      </c>
      <c r="E76" s="125">
        <v>0</v>
      </c>
      <c r="F76" s="125"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540000</v>
      </c>
      <c r="L76" s="125">
        <v>1640000</v>
      </c>
    </row>
    <row r="77" spans="1:12" ht="12.75">
      <c r="A77" s="124" t="s">
        <v>242</v>
      </c>
      <c r="C77" s="125">
        <v>48173000</v>
      </c>
      <c r="D77" s="125">
        <v>40582000</v>
      </c>
      <c r="E77" s="125">
        <v>37372000</v>
      </c>
      <c r="F77" s="125">
        <v>33342000</v>
      </c>
      <c r="G77" s="125">
        <v>28914000</v>
      </c>
      <c r="H77" s="125">
        <v>28380000</v>
      </c>
      <c r="I77" s="125">
        <v>32572000</v>
      </c>
      <c r="J77" s="125">
        <v>31384000</v>
      </c>
      <c r="K77" s="125">
        <v>29700000</v>
      </c>
      <c r="L77" s="125">
        <v>40136000</v>
      </c>
    </row>
    <row r="78" spans="1:12" ht="12.75">
      <c r="A78" s="124" t="s">
        <v>243</v>
      </c>
      <c r="C78" s="125">
        <v>42604000</v>
      </c>
      <c r="D78" s="125">
        <v>38500000</v>
      </c>
      <c r="E78" s="125">
        <v>32576000</v>
      </c>
      <c r="F78" s="125">
        <v>26684000</v>
      </c>
      <c r="G78" s="125">
        <v>30913000</v>
      </c>
      <c r="H78" s="125">
        <v>27894000</v>
      </c>
      <c r="I78" s="125">
        <v>26807000</v>
      </c>
      <c r="J78" s="125">
        <v>26278000</v>
      </c>
      <c r="K78" s="125">
        <v>24184000</v>
      </c>
      <c r="L78" s="125">
        <v>9278000</v>
      </c>
    </row>
    <row r="79" spans="1:12" ht="12.75">
      <c r="A79" s="124" t="s">
        <v>244</v>
      </c>
      <c r="C79" s="125">
        <v>1000</v>
      </c>
      <c r="D79" s="125">
        <v>18000</v>
      </c>
      <c r="E79" s="125">
        <v>18000</v>
      </c>
      <c r="F79" s="125">
        <v>21000</v>
      </c>
      <c r="G79" s="125">
        <v>63000</v>
      </c>
      <c r="H79" s="125">
        <v>70000</v>
      </c>
      <c r="I79" s="125">
        <v>72000</v>
      </c>
      <c r="J79" s="125">
        <v>104000</v>
      </c>
      <c r="K79" s="125" t="s">
        <v>159</v>
      </c>
      <c r="L79" s="125" t="s">
        <v>159</v>
      </c>
    </row>
    <row r="80" spans="1:12" ht="12.75">
      <c r="A80" s="124" t="s">
        <v>245</v>
      </c>
      <c r="C80" s="125">
        <v>0</v>
      </c>
      <c r="D80" s="125">
        <v>0</v>
      </c>
      <c r="E80" s="125">
        <v>0</v>
      </c>
      <c r="F80" s="125" t="s">
        <v>159</v>
      </c>
      <c r="G80" s="125">
        <v>0</v>
      </c>
      <c r="H80" s="125">
        <v>0</v>
      </c>
      <c r="I80" s="125">
        <v>0</v>
      </c>
      <c r="J80" s="125">
        <v>0</v>
      </c>
      <c r="K80" s="125" t="s">
        <v>159</v>
      </c>
      <c r="L80" s="125" t="s">
        <v>159</v>
      </c>
    </row>
    <row r="81" spans="1:12" ht="12.75">
      <c r="A81" s="124" t="s">
        <v>246</v>
      </c>
      <c r="C81" s="125">
        <v>3401000</v>
      </c>
      <c r="D81" s="125">
        <v>0</v>
      </c>
      <c r="E81" s="125">
        <v>0</v>
      </c>
      <c r="F81" s="125" t="s">
        <v>159</v>
      </c>
      <c r="G81" s="125">
        <v>0</v>
      </c>
      <c r="H81" s="125">
        <v>0</v>
      </c>
      <c r="I81" s="125">
        <v>0</v>
      </c>
      <c r="J81" s="125">
        <v>0</v>
      </c>
      <c r="K81" s="125" t="s">
        <v>159</v>
      </c>
      <c r="L81" s="125" t="s">
        <v>159</v>
      </c>
    </row>
    <row r="82" spans="1:12" ht="12.75">
      <c r="A82" s="124" t="s">
        <v>247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  <c r="J82" s="125" t="s">
        <v>159</v>
      </c>
      <c r="K82" s="125" t="s">
        <v>159</v>
      </c>
      <c r="L82" s="125" t="s">
        <v>159</v>
      </c>
    </row>
    <row r="83" spans="1:12" ht="12.75">
      <c r="A83" s="124" t="s">
        <v>248</v>
      </c>
      <c r="C83" s="125">
        <v>-20939000</v>
      </c>
      <c r="D83" s="125">
        <v>-19539000</v>
      </c>
      <c r="E83" s="125">
        <v>-15367000</v>
      </c>
      <c r="F83" s="125">
        <v>-12925000</v>
      </c>
      <c r="G83" s="125">
        <v>-17219000</v>
      </c>
      <c r="H83" s="125">
        <v>-14778000</v>
      </c>
      <c r="I83" s="125">
        <v>-12913000</v>
      </c>
      <c r="J83" s="125">
        <v>-12761000</v>
      </c>
      <c r="K83" s="125">
        <v>-11806000</v>
      </c>
      <c r="L83" s="125">
        <v>606000</v>
      </c>
    </row>
    <row r="84" spans="1:12" ht="12.75">
      <c r="A84" s="124" t="s">
        <v>249</v>
      </c>
      <c r="C84" s="125" t="s">
        <v>159</v>
      </c>
      <c r="D84" s="125" t="s">
        <v>159</v>
      </c>
      <c r="E84" s="125" t="s">
        <v>159</v>
      </c>
      <c r="F84" s="125" t="s">
        <v>159</v>
      </c>
      <c r="G84" s="125" t="s">
        <v>159</v>
      </c>
      <c r="H84" s="125" t="s">
        <v>159</v>
      </c>
      <c r="I84" s="125" t="s">
        <v>159</v>
      </c>
      <c r="J84" s="125" t="s">
        <v>159</v>
      </c>
      <c r="K84" s="125" t="s">
        <v>159</v>
      </c>
      <c r="L84" s="125" t="s">
        <v>159</v>
      </c>
    </row>
    <row r="85" spans="1:12" ht="12.75">
      <c r="A85" s="124" t="s">
        <v>174</v>
      </c>
      <c r="C85" s="125">
        <v>8384000</v>
      </c>
      <c r="D85" s="125">
        <v>7904000</v>
      </c>
      <c r="E85" s="125">
        <v>7286000</v>
      </c>
      <c r="F85" s="125">
        <v>4970000</v>
      </c>
      <c r="G85" s="125">
        <v>7057000</v>
      </c>
      <c r="H85" s="125">
        <v>6895000</v>
      </c>
      <c r="I85" s="125">
        <v>7504000</v>
      </c>
      <c r="J85" s="125">
        <v>7440000</v>
      </c>
      <c r="K85" s="125">
        <v>6652000</v>
      </c>
      <c r="L85" s="125">
        <v>5129000</v>
      </c>
    </row>
    <row r="86" spans="1:12" ht="12.75">
      <c r="A86" s="124" t="s">
        <v>250</v>
      </c>
      <c r="C86" s="125">
        <v>0</v>
      </c>
      <c r="D86" s="125">
        <v>0</v>
      </c>
      <c r="E86" s="125">
        <v>0</v>
      </c>
      <c r="F86" s="125">
        <v>21000</v>
      </c>
      <c r="G86" s="125">
        <v>26000</v>
      </c>
      <c r="H86" s="125">
        <v>35000</v>
      </c>
      <c r="I86" s="125">
        <v>46000</v>
      </c>
      <c r="J86" s="125">
        <v>48000</v>
      </c>
      <c r="K86" s="125">
        <v>61000</v>
      </c>
      <c r="L86" s="125">
        <v>27000</v>
      </c>
    </row>
    <row r="87" spans="1:12" ht="12.75">
      <c r="A87" s="124" t="s">
        <v>251</v>
      </c>
      <c r="C87" s="125">
        <v>9881000</v>
      </c>
      <c r="D87" s="125">
        <v>11075000</v>
      </c>
      <c r="E87" s="125">
        <v>9941000</v>
      </c>
      <c r="F87" s="125">
        <v>8831000</v>
      </c>
      <c r="G87" s="125">
        <v>6726000</v>
      </c>
      <c r="H87" s="125">
        <v>6326000</v>
      </c>
      <c r="I87" s="125">
        <v>6508000</v>
      </c>
      <c r="J87" s="125">
        <v>6229000</v>
      </c>
      <c r="K87" s="125">
        <v>5787000</v>
      </c>
      <c r="L87" s="125">
        <v>4782000</v>
      </c>
    </row>
    <row r="88" spans="1:12" ht="12.75">
      <c r="A88" s="124" t="s">
        <v>165</v>
      </c>
      <c r="C88" s="125">
        <v>2976000</v>
      </c>
      <c r="D88" s="125">
        <v>3526000</v>
      </c>
      <c r="E88" s="125">
        <v>3164000</v>
      </c>
      <c r="F88" s="125">
        <v>2746000</v>
      </c>
      <c r="G88" s="125">
        <v>2151000</v>
      </c>
      <c r="H88" s="125">
        <v>1968000</v>
      </c>
      <c r="I88" s="125">
        <v>2001000</v>
      </c>
      <c r="J88" s="125">
        <v>1844000</v>
      </c>
      <c r="K88" s="125">
        <v>1764000</v>
      </c>
      <c r="L88" s="125">
        <v>1335000</v>
      </c>
    </row>
    <row r="89" spans="1:12" ht="12.75">
      <c r="A89" s="124" t="s">
        <v>227</v>
      </c>
      <c r="C89" s="125">
        <v>240000</v>
      </c>
      <c r="D89" s="125">
        <v>269000</v>
      </c>
      <c r="E89" s="125">
        <v>204000</v>
      </c>
      <c r="F89" s="125">
        <v>170000</v>
      </c>
      <c r="G89" s="125">
        <v>151000</v>
      </c>
      <c r="H89" s="125">
        <v>53000</v>
      </c>
      <c r="I89" s="125">
        <v>72000</v>
      </c>
      <c r="J89" s="125">
        <v>82000</v>
      </c>
      <c r="K89" s="125">
        <v>84000</v>
      </c>
      <c r="L89" s="125">
        <v>61000</v>
      </c>
    </row>
    <row r="90" spans="1:12" ht="12.75">
      <c r="A90" s="124" t="s">
        <v>252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v>0</v>
      </c>
    </row>
    <row r="91" spans="1:12" ht="12.75">
      <c r="A91" s="124" t="s">
        <v>253</v>
      </c>
      <c r="C91" s="125">
        <v>1538000</v>
      </c>
      <c r="D91" s="125">
        <v>0</v>
      </c>
      <c r="E91" s="125">
        <v>0</v>
      </c>
      <c r="F91" s="125">
        <v>0</v>
      </c>
      <c r="G91" s="125">
        <v>0</v>
      </c>
      <c r="H91" s="125">
        <v>0</v>
      </c>
      <c r="I91" s="125">
        <v>0</v>
      </c>
      <c r="J91" s="125">
        <v>0</v>
      </c>
      <c r="K91" s="125" t="s">
        <v>159</v>
      </c>
      <c r="L91" s="125" t="s">
        <v>159</v>
      </c>
    </row>
    <row r="92" spans="1:12" ht="12.75">
      <c r="A92" s="124" t="s">
        <v>254</v>
      </c>
      <c r="C92" s="125">
        <v>0</v>
      </c>
      <c r="D92" s="125">
        <v>0</v>
      </c>
      <c r="E92" s="125">
        <v>0</v>
      </c>
      <c r="F92" s="125">
        <v>-1189000</v>
      </c>
      <c r="G92" s="125">
        <v>0</v>
      </c>
      <c r="H92" s="125">
        <v>420000</v>
      </c>
      <c r="I92" s="125">
        <v>0</v>
      </c>
      <c r="J92" s="125">
        <v>0</v>
      </c>
      <c r="K92" s="125">
        <v>0</v>
      </c>
      <c r="L92" s="125">
        <v>0</v>
      </c>
    </row>
    <row r="93" spans="1:12" ht="12.75">
      <c r="A93" s="124" t="s">
        <v>175</v>
      </c>
      <c r="C93" s="125">
        <v>8203000</v>
      </c>
      <c r="D93" s="125">
        <v>7280000</v>
      </c>
      <c r="E93" s="125">
        <v>6573000</v>
      </c>
      <c r="F93" s="125">
        <v>4726000</v>
      </c>
      <c r="G93" s="125">
        <v>4424000</v>
      </c>
      <c r="H93" s="125">
        <v>4725000</v>
      </c>
      <c r="I93" s="125">
        <v>4435000</v>
      </c>
      <c r="J93" s="125">
        <v>4303000</v>
      </c>
      <c r="K93" s="125">
        <v>3939000</v>
      </c>
      <c r="L93" s="125">
        <v>3386000</v>
      </c>
    </row>
    <row r="94" spans="1:12" ht="12.75">
      <c r="A94" s="124" t="s">
        <v>255</v>
      </c>
      <c r="C94" s="125">
        <v>0</v>
      </c>
      <c r="D94" s="125">
        <v>0</v>
      </c>
      <c r="E94" s="125">
        <v>0</v>
      </c>
      <c r="F94" s="125">
        <v>0</v>
      </c>
      <c r="G94" s="125">
        <v>-109000</v>
      </c>
      <c r="H94" s="125">
        <v>0</v>
      </c>
      <c r="I94" s="125">
        <v>-1799000</v>
      </c>
      <c r="J94" s="125">
        <v>0</v>
      </c>
      <c r="K94" s="125">
        <v>0</v>
      </c>
      <c r="L94" s="125">
        <v>0</v>
      </c>
    </row>
    <row r="95" spans="1:12" ht="12.75">
      <c r="A95" s="124" t="s">
        <v>256</v>
      </c>
      <c r="C95" s="125">
        <v>8203000</v>
      </c>
      <c r="D95" s="125">
        <v>7280000</v>
      </c>
      <c r="E95" s="125">
        <v>6573000</v>
      </c>
      <c r="F95" s="125">
        <v>4726000</v>
      </c>
      <c r="G95" s="125">
        <v>4315000</v>
      </c>
      <c r="H95" s="125">
        <v>4725000</v>
      </c>
      <c r="I95" s="125">
        <v>2636000</v>
      </c>
      <c r="J95" s="125">
        <v>4303000</v>
      </c>
      <c r="K95" s="125">
        <v>3939000</v>
      </c>
      <c r="L95" s="125">
        <v>3386000</v>
      </c>
    </row>
    <row r="96" spans="1:12" ht="12.75">
      <c r="A96" s="124" t="s">
        <v>257</v>
      </c>
      <c r="C96" s="125">
        <v>0</v>
      </c>
      <c r="D96" s="125">
        <v>0</v>
      </c>
      <c r="E96" s="125">
        <v>0</v>
      </c>
      <c r="F96" s="125">
        <v>0</v>
      </c>
      <c r="G96" s="125">
        <v>0</v>
      </c>
      <c r="H96" s="125">
        <v>0</v>
      </c>
      <c r="I96" s="125">
        <v>0</v>
      </c>
      <c r="J96" s="125">
        <v>0</v>
      </c>
      <c r="K96" s="125">
        <v>0</v>
      </c>
      <c r="L96" s="125">
        <v>0</v>
      </c>
    </row>
    <row r="97" spans="1:12" ht="12.75">
      <c r="A97" s="124" t="s">
        <v>176</v>
      </c>
      <c r="C97" s="125" t="s">
        <v>159</v>
      </c>
      <c r="D97" s="125">
        <v>7280000</v>
      </c>
      <c r="E97" s="125">
        <v>6573000</v>
      </c>
      <c r="F97" s="125">
        <v>4726000</v>
      </c>
      <c r="G97" s="125">
        <v>4424000</v>
      </c>
      <c r="H97" s="125">
        <v>4725000</v>
      </c>
      <c r="I97" s="125">
        <v>4435000</v>
      </c>
      <c r="J97" s="125">
        <v>4303000</v>
      </c>
      <c r="K97" s="125">
        <v>3939000</v>
      </c>
      <c r="L97" s="125">
        <v>3386000</v>
      </c>
    </row>
    <row r="99" ht="12.75">
      <c r="A99" s="124" t="s">
        <v>258</v>
      </c>
    </row>
    <row r="100" spans="1:12" ht="12.75">
      <c r="A100" s="124" t="s">
        <v>158</v>
      </c>
      <c r="C100" s="125" t="s">
        <v>186</v>
      </c>
      <c r="D100" s="125" t="s">
        <v>187</v>
      </c>
      <c r="E100" s="125" t="s">
        <v>188</v>
      </c>
      <c r="F100" s="125" t="s">
        <v>189</v>
      </c>
      <c r="G100" s="125" t="s">
        <v>190</v>
      </c>
      <c r="H100" s="125" t="s">
        <v>191</v>
      </c>
      <c r="I100" s="125" t="s">
        <v>192</v>
      </c>
      <c r="J100" s="125" t="s">
        <v>193</v>
      </c>
      <c r="K100" s="125" t="s">
        <v>194</v>
      </c>
      <c r="L100" s="125" t="s">
        <v>195</v>
      </c>
    </row>
    <row r="101" spans="1:12" ht="12.75">
      <c r="A101" s="124" t="s">
        <v>259</v>
      </c>
      <c r="C101" s="125">
        <v>239539438</v>
      </c>
      <c r="D101" s="125">
        <v>162604090</v>
      </c>
      <c r="E101" s="125">
        <v>119988864</v>
      </c>
      <c r="F101" s="125">
        <v>87004317</v>
      </c>
      <c r="G101" s="125">
        <v>89526649</v>
      </c>
      <c r="H101" s="125">
        <v>73139180</v>
      </c>
      <c r="I101" s="125">
        <v>66105333</v>
      </c>
      <c r="J101" s="125">
        <v>50095260</v>
      </c>
      <c r="K101" s="125">
        <v>58358375</v>
      </c>
      <c r="L101" s="125">
        <v>40369691</v>
      </c>
    </row>
    <row r="102" spans="1:12" ht="12.75">
      <c r="A102" s="124" t="s">
        <v>260</v>
      </c>
      <c r="C102" s="125">
        <v>34438000</v>
      </c>
      <c r="D102" s="125">
        <v>31125000</v>
      </c>
      <c r="E102" s="125">
        <v>29609000</v>
      </c>
      <c r="F102" s="125">
        <v>26387000</v>
      </c>
      <c r="G102" s="125">
        <v>25824000</v>
      </c>
      <c r="H102" s="125">
        <v>23459000</v>
      </c>
      <c r="I102" s="125">
        <v>21683000</v>
      </c>
      <c r="J102" s="125">
        <v>21680000</v>
      </c>
      <c r="K102" s="125">
        <v>20890000</v>
      </c>
      <c r="L102" s="125">
        <v>18466000</v>
      </c>
    </row>
    <row r="103" spans="1:12" ht="12.75">
      <c r="A103" s="124" t="s">
        <v>261</v>
      </c>
      <c r="C103" s="125">
        <v>304012000</v>
      </c>
      <c r="D103" s="125">
        <v>272402000</v>
      </c>
      <c r="E103" s="125">
        <v>228035000</v>
      </c>
      <c r="F103" s="125">
        <v>194484000</v>
      </c>
      <c r="G103" s="125">
        <v>251506000</v>
      </c>
      <c r="H103" s="125">
        <v>192876000</v>
      </c>
      <c r="I103" s="125">
        <v>168259000</v>
      </c>
      <c r="J103" s="125">
        <v>153884000</v>
      </c>
      <c r="K103" s="125">
        <v>128344000</v>
      </c>
      <c r="L103" s="125">
        <v>110865000</v>
      </c>
    </row>
    <row r="104" spans="1:12" ht="12.75">
      <c r="A104" s="124" t="s">
        <v>262</v>
      </c>
      <c r="C104" s="125">
        <v>90777000</v>
      </c>
      <c r="D104" s="125">
        <v>79082000</v>
      </c>
      <c r="E104" s="125">
        <v>69948000</v>
      </c>
      <c r="F104" s="125">
        <v>60026000</v>
      </c>
      <c r="G104" s="125">
        <v>59827000</v>
      </c>
      <c r="H104" s="125">
        <v>56274000</v>
      </c>
      <c r="I104" s="125">
        <v>59379000</v>
      </c>
      <c r="J104" s="125">
        <v>57662000</v>
      </c>
      <c r="K104" s="125">
        <v>53884000</v>
      </c>
      <c r="L104" s="125">
        <v>49414000</v>
      </c>
    </row>
    <row r="105" spans="1:12" ht="12.75">
      <c r="A105" s="124" t="s">
        <v>263</v>
      </c>
      <c r="C105" s="125">
        <v>8203000</v>
      </c>
      <c r="D105" s="125">
        <v>7280000</v>
      </c>
      <c r="E105" s="125">
        <v>6573000</v>
      </c>
      <c r="F105" s="125">
        <v>4726000</v>
      </c>
      <c r="G105" s="125">
        <v>4315000</v>
      </c>
      <c r="H105" s="125">
        <v>4725000</v>
      </c>
      <c r="I105" s="125">
        <v>2636000</v>
      </c>
      <c r="J105" s="125">
        <v>4303000</v>
      </c>
      <c r="K105" s="125">
        <v>3939000</v>
      </c>
      <c r="L105" s="125">
        <v>3386000</v>
      </c>
    </row>
    <row r="107" ht="25.5">
      <c r="A107" s="124" t="s">
        <v>264</v>
      </c>
    </row>
    <row r="108" ht="12.75">
      <c r="A108" s="124" t="s">
        <v>265</v>
      </c>
    </row>
    <row r="109" spans="1:12" ht="12.75">
      <c r="A109" s="124" t="s">
        <v>266</v>
      </c>
      <c r="C109" s="125">
        <v>123197</v>
      </c>
      <c r="D109" s="125">
        <v>123196</v>
      </c>
      <c r="E109" s="125">
        <v>123195</v>
      </c>
      <c r="F109" s="125">
        <v>123194</v>
      </c>
      <c r="G109" s="125">
        <v>123193</v>
      </c>
      <c r="H109" s="125">
        <v>123192</v>
      </c>
      <c r="I109" s="125">
        <v>123191</v>
      </c>
      <c r="J109" s="125">
        <v>123190</v>
      </c>
      <c r="K109" s="125">
        <v>123189</v>
      </c>
      <c r="L109" s="125">
        <v>123188</v>
      </c>
    </row>
    <row r="110" spans="1:12" ht="12.75">
      <c r="A110" s="124" t="s">
        <v>267</v>
      </c>
      <c r="C110" s="125">
        <v>8203000</v>
      </c>
      <c r="D110" s="125">
        <v>7280000</v>
      </c>
      <c r="E110" s="125">
        <v>6573000</v>
      </c>
      <c r="F110" s="125">
        <v>4726000</v>
      </c>
      <c r="G110" s="125">
        <v>4424000</v>
      </c>
      <c r="H110" s="125">
        <v>4725000</v>
      </c>
      <c r="I110" s="125">
        <v>4435000</v>
      </c>
      <c r="J110" s="125">
        <v>4303000</v>
      </c>
      <c r="K110" s="125">
        <v>3939000</v>
      </c>
      <c r="L110" s="125">
        <v>3386000</v>
      </c>
    </row>
    <row r="111" spans="1:12" ht="12.75">
      <c r="A111" s="124" t="s">
        <v>268</v>
      </c>
      <c r="C111" s="125">
        <v>4082000</v>
      </c>
      <c r="D111" s="125">
        <v>3785000</v>
      </c>
      <c r="E111" s="125">
        <v>3594000</v>
      </c>
      <c r="F111" s="125">
        <v>3207000</v>
      </c>
      <c r="G111" s="125">
        <v>3261000</v>
      </c>
      <c r="H111" s="125">
        <v>2818000</v>
      </c>
      <c r="I111" s="125">
        <v>2832000</v>
      </c>
      <c r="J111" s="125">
        <v>2508000</v>
      </c>
      <c r="K111" s="125">
        <v>2256000</v>
      </c>
      <c r="L111" s="125">
        <v>2266000</v>
      </c>
    </row>
    <row r="112" spans="1:12" ht="12.75">
      <c r="A112" s="124" t="s">
        <v>269</v>
      </c>
      <c r="C112" s="125">
        <v>284000</v>
      </c>
      <c r="D112" s="125">
        <v>1145000</v>
      </c>
      <c r="E112" s="125">
        <v>1047000</v>
      </c>
      <c r="F112" s="125">
        <v>1228000</v>
      </c>
      <c r="G112" s="125">
        <v>461000</v>
      </c>
      <c r="H112" s="125">
        <v>707000</v>
      </c>
      <c r="I112" s="125">
        <v>866000</v>
      </c>
      <c r="J112" s="125">
        <v>183000</v>
      </c>
      <c r="K112" s="125">
        <v>281000</v>
      </c>
      <c r="L112" s="125">
        <v>124000</v>
      </c>
    </row>
    <row r="113" spans="1:12" ht="12.75">
      <c r="A113" s="124" t="s">
        <v>270</v>
      </c>
      <c r="C113" s="125">
        <v>1607000</v>
      </c>
      <c r="D113" s="125">
        <v>4958000</v>
      </c>
      <c r="E113" s="125">
        <v>4065000</v>
      </c>
      <c r="F113" s="125">
        <v>425000</v>
      </c>
      <c r="G113" s="125">
        <v>-4331000</v>
      </c>
      <c r="H113" s="125">
        <v>321000</v>
      </c>
      <c r="I113" s="125">
        <v>-2577000</v>
      </c>
      <c r="J113" s="125">
        <v>91000</v>
      </c>
      <c r="K113" s="125">
        <v>-230000</v>
      </c>
      <c r="L113" s="125">
        <v>1236000</v>
      </c>
    </row>
    <row r="114" spans="1:12" ht="12.75">
      <c r="A114" s="124" t="s">
        <v>271</v>
      </c>
      <c r="C114" s="125">
        <v>14176000</v>
      </c>
      <c r="D114" s="125">
        <v>17168000</v>
      </c>
      <c r="E114" s="125">
        <v>15279000</v>
      </c>
      <c r="F114" s="125">
        <v>9586000</v>
      </c>
      <c r="G114" s="125">
        <v>3815000</v>
      </c>
      <c r="H114" s="125">
        <v>8571000</v>
      </c>
      <c r="I114" s="125">
        <v>5556000</v>
      </c>
      <c r="J114" s="125">
        <v>7085000</v>
      </c>
      <c r="K114" s="125">
        <v>6246000</v>
      </c>
      <c r="L114" s="125">
        <v>7012000</v>
      </c>
    </row>
    <row r="115" spans="1:12" ht="12.75">
      <c r="A115" s="124" t="s">
        <v>272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  <c r="L115" s="125">
        <v>0</v>
      </c>
    </row>
    <row r="116" spans="1:12" ht="12.75">
      <c r="A116" s="124" t="s">
        <v>273</v>
      </c>
      <c r="C116" s="125">
        <v>64000</v>
      </c>
      <c r="D116" s="125">
        <v>683000</v>
      </c>
      <c r="E116" s="125">
        <v>-333000</v>
      </c>
      <c r="F116" s="125">
        <v>3806000</v>
      </c>
      <c r="G116" s="125">
        <v>6372000</v>
      </c>
      <c r="H116" s="125">
        <v>1678000</v>
      </c>
      <c r="I116" s="125">
        <v>1941000</v>
      </c>
      <c r="J116" s="125">
        <v>1951000</v>
      </c>
      <c r="K116" s="125">
        <v>377000</v>
      </c>
      <c r="L116" s="125">
        <v>90000</v>
      </c>
    </row>
    <row r="117" spans="1:12" ht="12.75">
      <c r="A117" s="124" t="s">
        <v>274</v>
      </c>
      <c r="C117" s="125">
        <v>0</v>
      </c>
      <c r="D117" s="125">
        <v>0</v>
      </c>
      <c r="E117" s="125">
        <v>0</v>
      </c>
      <c r="F117" s="125">
        <v>771000</v>
      </c>
      <c r="G117" s="125">
        <v>406000</v>
      </c>
      <c r="H117" s="125">
        <v>425000</v>
      </c>
      <c r="I117" s="125">
        <v>410000</v>
      </c>
      <c r="J117" s="125">
        <v>708000</v>
      </c>
      <c r="K117" s="125">
        <v>509000</v>
      </c>
      <c r="L117" s="125">
        <v>956000</v>
      </c>
    </row>
    <row r="118" spans="1:12" ht="12.75">
      <c r="A118" s="124" t="s">
        <v>275</v>
      </c>
      <c r="C118" s="125">
        <v>0</v>
      </c>
      <c r="D118" s="125">
        <v>0</v>
      </c>
      <c r="E118" s="125">
        <v>0</v>
      </c>
      <c r="F118" s="125">
        <v>771000</v>
      </c>
      <c r="G118" s="125">
        <v>406000</v>
      </c>
      <c r="H118" s="125">
        <v>425000</v>
      </c>
      <c r="I118" s="125">
        <v>410000</v>
      </c>
      <c r="J118" s="125">
        <v>433000</v>
      </c>
      <c r="K118" s="125">
        <v>509000</v>
      </c>
      <c r="L118" s="125">
        <v>0</v>
      </c>
    </row>
    <row r="119" spans="1:12" ht="12.75">
      <c r="A119" s="124" t="s">
        <v>276</v>
      </c>
      <c r="C119" s="125">
        <v>0</v>
      </c>
      <c r="D119" s="125">
        <v>0</v>
      </c>
      <c r="E119" s="125">
        <v>0</v>
      </c>
      <c r="F119" s="125">
        <v>0</v>
      </c>
      <c r="G119" s="125">
        <v>0</v>
      </c>
      <c r="H119" s="125">
        <v>0</v>
      </c>
      <c r="I119" s="125">
        <v>0</v>
      </c>
      <c r="J119" s="125">
        <v>275000</v>
      </c>
      <c r="K119" s="125">
        <v>0</v>
      </c>
      <c r="L119" s="125">
        <v>956000</v>
      </c>
    </row>
    <row r="120" spans="1:12" ht="12.75">
      <c r="A120" s="124" t="s">
        <v>277</v>
      </c>
      <c r="C120" s="125">
        <v>2251000</v>
      </c>
      <c r="D120" s="125">
        <v>1363000</v>
      </c>
      <c r="E120" s="125">
        <v>1542000</v>
      </c>
      <c r="F120" s="125">
        <v>2506000</v>
      </c>
      <c r="G120" s="125">
        <v>1155000</v>
      </c>
      <c r="H120" s="125">
        <v>1793000</v>
      </c>
      <c r="I120" s="125">
        <v>1696000</v>
      </c>
      <c r="J120" s="125">
        <v>2190000</v>
      </c>
      <c r="K120" s="125">
        <v>1294000</v>
      </c>
      <c r="L120" s="125">
        <v>1350000</v>
      </c>
    </row>
    <row r="121" spans="1:12" ht="12.75">
      <c r="A121" s="124" t="s">
        <v>278</v>
      </c>
      <c r="C121" s="125">
        <v>13684000</v>
      </c>
      <c r="D121" s="125">
        <v>11827000</v>
      </c>
      <c r="E121" s="125">
        <v>-3487000</v>
      </c>
      <c r="F121" s="125">
        <v>-2784000</v>
      </c>
      <c r="G121" s="125">
        <v>4464000</v>
      </c>
      <c r="H121" s="125">
        <v>3092000</v>
      </c>
      <c r="I121" s="125">
        <v>6126000</v>
      </c>
      <c r="J121" s="125">
        <v>5407000</v>
      </c>
      <c r="K121" s="125">
        <v>7360000</v>
      </c>
      <c r="L121" s="125">
        <v>3868000</v>
      </c>
    </row>
    <row r="122" spans="1:12" ht="12.75">
      <c r="A122" s="124" t="s">
        <v>279</v>
      </c>
      <c r="B122" s="125">
        <v>6</v>
      </c>
      <c r="C122" s="125">
        <v>21249000</v>
      </c>
      <c r="D122" s="125">
        <v>23153000</v>
      </c>
      <c r="E122" s="125">
        <v>37604000</v>
      </c>
      <c r="F122" s="125">
        <v>23239000</v>
      </c>
      <c r="G122" s="125">
        <v>15468000</v>
      </c>
      <c r="H122" s="125">
        <v>13084000</v>
      </c>
      <c r="I122" s="125">
        <v>15374000</v>
      </c>
      <c r="J122" s="125">
        <v>12065000</v>
      </c>
      <c r="K122" s="125">
        <v>8078000</v>
      </c>
      <c r="L122" s="125">
        <v>11324000</v>
      </c>
    </row>
    <row r="123" spans="1:12" ht="12.75">
      <c r="A123" s="124" t="s">
        <v>280</v>
      </c>
      <c r="C123" s="125">
        <v>0</v>
      </c>
      <c r="D123" s="125">
        <v>0</v>
      </c>
      <c r="E123" s="125">
        <v>0</v>
      </c>
      <c r="F123" s="125">
        <v>0</v>
      </c>
      <c r="G123" s="125">
        <v>0</v>
      </c>
      <c r="H123" s="125">
        <v>0</v>
      </c>
      <c r="I123" s="125">
        <v>0</v>
      </c>
      <c r="J123" s="125">
        <v>0</v>
      </c>
      <c r="K123" s="125" t="s">
        <v>159</v>
      </c>
      <c r="L123" s="125" t="s">
        <v>159</v>
      </c>
    </row>
    <row r="124" spans="1:12" ht="12.75">
      <c r="A124" s="124" t="s">
        <v>281</v>
      </c>
      <c r="C124" s="125" t="s">
        <v>159</v>
      </c>
      <c r="D124" s="125" t="s">
        <v>159</v>
      </c>
      <c r="E124" s="125" t="s">
        <v>159</v>
      </c>
      <c r="F124" s="125" t="s">
        <v>159</v>
      </c>
      <c r="G124" s="125" t="s">
        <v>159</v>
      </c>
      <c r="H124" s="125" t="s">
        <v>159</v>
      </c>
      <c r="I124" s="125" t="s">
        <v>159</v>
      </c>
      <c r="J124" s="125" t="s">
        <v>159</v>
      </c>
      <c r="K124" s="125" t="s">
        <v>159</v>
      </c>
      <c r="L124" s="125" t="s">
        <v>159</v>
      </c>
    </row>
    <row r="125" spans="1:12" ht="12.75">
      <c r="A125" s="124" t="s">
        <v>282</v>
      </c>
      <c r="C125" s="125">
        <v>785000</v>
      </c>
      <c r="D125" s="125">
        <v>28000</v>
      </c>
      <c r="E125" s="125">
        <v>259000</v>
      </c>
      <c r="F125" s="125">
        <v>-1988000</v>
      </c>
      <c r="G125" s="125">
        <v>-69000</v>
      </c>
      <c r="H125" s="125">
        <v>0</v>
      </c>
      <c r="I125" s="125" t="s">
        <v>159</v>
      </c>
      <c r="J125" s="125" t="s">
        <v>159</v>
      </c>
      <c r="K125" s="125" t="s">
        <v>159</v>
      </c>
      <c r="L125" s="125" t="s">
        <v>159</v>
      </c>
    </row>
    <row r="126" spans="1:12" ht="12.75">
      <c r="A126" s="124" t="s">
        <v>283</v>
      </c>
      <c r="C126" s="125">
        <v>0</v>
      </c>
      <c r="D126" s="125">
        <v>0</v>
      </c>
      <c r="E126" s="125">
        <v>0</v>
      </c>
      <c r="F126" s="125">
        <v>0</v>
      </c>
      <c r="G126" s="125">
        <v>0</v>
      </c>
      <c r="H126" s="125">
        <v>0</v>
      </c>
      <c r="I126" s="125">
        <v>0</v>
      </c>
      <c r="J126" s="125">
        <v>0</v>
      </c>
      <c r="K126" s="125" t="s">
        <v>159</v>
      </c>
      <c r="L126" s="125" t="s">
        <v>159</v>
      </c>
    </row>
    <row r="127" spans="1:12" ht="12.75">
      <c r="A127" s="124" t="s">
        <v>284</v>
      </c>
      <c r="C127" s="125" t="s">
        <v>159</v>
      </c>
      <c r="D127" s="125" t="s">
        <v>159</v>
      </c>
      <c r="E127" s="125" t="s">
        <v>159</v>
      </c>
      <c r="F127" s="125" t="s">
        <v>159</v>
      </c>
      <c r="G127" s="125" t="s">
        <v>159</v>
      </c>
      <c r="H127" s="125">
        <v>0</v>
      </c>
      <c r="I127" s="125">
        <v>0</v>
      </c>
      <c r="J127" s="125">
        <v>0</v>
      </c>
      <c r="K127" s="125" t="s">
        <v>159</v>
      </c>
      <c r="L127" s="125">
        <v>0</v>
      </c>
    </row>
    <row r="128" spans="1:12" ht="12.75">
      <c r="A128" s="124" t="s">
        <v>285</v>
      </c>
      <c r="C128" s="125">
        <v>52209000</v>
      </c>
      <c r="D128" s="125">
        <v>54222000</v>
      </c>
      <c r="E128" s="125">
        <v>50864000</v>
      </c>
      <c r="F128" s="125">
        <v>38011000</v>
      </c>
      <c r="G128" s="125">
        <v>32566000</v>
      </c>
      <c r="H128" s="125">
        <v>28733000</v>
      </c>
      <c r="I128" s="125">
        <v>31103000</v>
      </c>
      <c r="J128" s="125">
        <v>29406000</v>
      </c>
      <c r="K128" s="125">
        <v>23864000</v>
      </c>
      <c r="L128" s="125">
        <v>24600000</v>
      </c>
    </row>
    <row r="130" ht="12.75">
      <c r="A130" s="124" t="s">
        <v>286</v>
      </c>
    </row>
    <row r="131" spans="1:12" ht="12.75">
      <c r="A131" s="124" t="s">
        <v>266</v>
      </c>
      <c r="C131" s="125">
        <v>123197</v>
      </c>
      <c r="D131" s="125">
        <v>123196</v>
      </c>
      <c r="E131" s="125">
        <v>123195</v>
      </c>
      <c r="F131" s="125">
        <v>123194</v>
      </c>
      <c r="G131" s="125">
        <v>123193</v>
      </c>
      <c r="H131" s="125">
        <v>123192</v>
      </c>
      <c r="I131" s="125">
        <v>123191</v>
      </c>
      <c r="J131" s="125">
        <v>123190</v>
      </c>
      <c r="K131" s="125">
        <v>123189</v>
      </c>
      <c r="L131" s="125">
        <v>123188</v>
      </c>
    </row>
    <row r="132" spans="1:12" ht="12.75">
      <c r="A132" s="124" t="s">
        <v>287</v>
      </c>
      <c r="C132" s="125">
        <v>3411000</v>
      </c>
      <c r="D132" s="125">
        <v>3050000</v>
      </c>
      <c r="E132" s="125">
        <v>2770000</v>
      </c>
      <c r="F132" s="125">
        <v>2462000</v>
      </c>
      <c r="G132" s="125">
        <v>2153000</v>
      </c>
      <c r="H132" s="125">
        <v>1925000</v>
      </c>
      <c r="I132" s="125">
        <v>1780000</v>
      </c>
      <c r="J132" s="125">
        <v>1678000</v>
      </c>
      <c r="K132" s="125">
        <v>1479000</v>
      </c>
      <c r="L132" s="125">
        <v>1263000</v>
      </c>
    </row>
    <row r="133" spans="1:12" ht="12.75">
      <c r="A133" s="124" t="s">
        <v>288</v>
      </c>
      <c r="C133" s="125">
        <v>8388000</v>
      </c>
      <c r="D133" s="125">
        <v>7760000</v>
      </c>
      <c r="E133" s="125">
        <v>6447000</v>
      </c>
      <c r="F133" s="125">
        <v>7492000</v>
      </c>
      <c r="G133" s="125">
        <v>4739000</v>
      </c>
      <c r="H133" s="125">
        <v>4824000</v>
      </c>
      <c r="I133" s="125">
        <v>5000000</v>
      </c>
      <c r="J133" s="125">
        <v>4523000</v>
      </c>
      <c r="K133" s="125">
        <v>5474000</v>
      </c>
      <c r="L133" s="125">
        <v>3681000</v>
      </c>
    </row>
    <row r="134" spans="1:12" ht="12.75">
      <c r="A134" s="124" t="s">
        <v>289</v>
      </c>
      <c r="C134" s="125">
        <v>5245000</v>
      </c>
      <c r="D134" s="125">
        <v>5516000</v>
      </c>
      <c r="E134" s="125">
        <v>5641000</v>
      </c>
      <c r="F134" s="125">
        <v>2606000</v>
      </c>
      <c r="G134" s="125">
        <v>2090000</v>
      </c>
      <c r="H134" s="125">
        <v>2013000</v>
      </c>
      <c r="I134" s="125">
        <v>3769000</v>
      </c>
      <c r="J134" s="125">
        <v>4595000</v>
      </c>
      <c r="K134" s="125" t="s">
        <v>159</v>
      </c>
      <c r="L134" s="125" t="s">
        <v>159</v>
      </c>
    </row>
    <row r="135" spans="1:12" ht="12.75">
      <c r="A135" s="124" t="s">
        <v>290</v>
      </c>
      <c r="C135" s="125">
        <v>1898000</v>
      </c>
      <c r="D135" s="125">
        <v>2278000</v>
      </c>
      <c r="E135" s="125">
        <v>11309000</v>
      </c>
      <c r="F135" s="125">
        <v>9525000</v>
      </c>
      <c r="G135" s="125">
        <v>4164000</v>
      </c>
      <c r="H135" s="125">
        <v>4683000</v>
      </c>
      <c r="I135" s="125">
        <v>7254000</v>
      </c>
      <c r="J135" s="125">
        <v>5577000</v>
      </c>
      <c r="K135" s="125">
        <v>2260000</v>
      </c>
      <c r="L135" s="125">
        <v>5276000</v>
      </c>
    </row>
    <row r="136" spans="1:12" ht="12.75">
      <c r="A136" s="124" t="s">
        <v>291</v>
      </c>
      <c r="B136" s="125">
        <v>7</v>
      </c>
      <c r="C136" s="125">
        <v>23787000</v>
      </c>
      <c r="D136" s="125">
        <v>25906000</v>
      </c>
      <c r="E136" s="125">
        <v>18580000</v>
      </c>
      <c r="F136" s="125">
        <v>13098000</v>
      </c>
      <c r="G136" s="125">
        <v>11853000</v>
      </c>
      <c r="H136" s="125">
        <v>9008000</v>
      </c>
      <c r="I136" s="125">
        <v>10158000</v>
      </c>
      <c r="J136" s="125">
        <v>7427000</v>
      </c>
      <c r="K136" s="125">
        <v>7710000</v>
      </c>
      <c r="L136" s="125">
        <v>8801000</v>
      </c>
    </row>
    <row r="137" spans="1:12" ht="12.75">
      <c r="A137" s="124" t="s">
        <v>292</v>
      </c>
      <c r="C137" s="125">
        <v>2815000</v>
      </c>
      <c r="D137" s="125">
        <v>2323000</v>
      </c>
      <c r="E137" s="125">
        <v>2523000</v>
      </c>
      <c r="F137" s="125">
        <v>1124000</v>
      </c>
      <c r="G137" s="125">
        <v>770000</v>
      </c>
      <c r="H137" s="125">
        <v>1206000</v>
      </c>
      <c r="I137" s="125">
        <v>1112000</v>
      </c>
      <c r="J137" s="125">
        <v>2485000</v>
      </c>
      <c r="K137" s="125">
        <v>490000</v>
      </c>
      <c r="L137" s="125">
        <v>387000</v>
      </c>
    </row>
    <row r="138" spans="1:12" ht="12.75">
      <c r="A138" s="124" t="s">
        <v>293</v>
      </c>
      <c r="C138" s="125">
        <v>0</v>
      </c>
      <c r="D138" s="125">
        <v>0</v>
      </c>
      <c r="E138" s="125">
        <v>0</v>
      </c>
      <c r="F138" s="125">
        <v>0</v>
      </c>
      <c r="G138" s="125">
        <v>0</v>
      </c>
      <c r="H138" s="125">
        <v>0</v>
      </c>
      <c r="I138" s="125">
        <v>0</v>
      </c>
      <c r="J138" s="125">
        <v>0</v>
      </c>
      <c r="K138" s="125" t="s">
        <v>159</v>
      </c>
      <c r="L138" s="125" t="s">
        <v>159</v>
      </c>
    </row>
    <row r="139" spans="1:12" ht="12.75">
      <c r="A139" s="124" t="s">
        <v>294</v>
      </c>
      <c r="C139" s="125">
        <v>4995000</v>
      </c>
      <c r="D139" s="125">
        <v>6021000</v>
      </c>
      <c r="E139" s="125">
        <v>3362000</v>
      </c>
      <c r="F139" s="125">
        <v>-706000</v>
      </c>
      <c r="G139" s="125">
        <v>5753000</v>
      </c>
      <c r="H139" s="125">
        <v>3826000</v>
      </c>
      <c r="I139" s="125">
        <v>2034000</v>
      </c>
      <c r="J139" s="125">
        <v>3404000</v>
      </c>
      <c r="K139" s="125" t="s">
        <v>159</v>
      </c>
      <c r="L139" s="125" t="s">
        <v>159</v>
      </c>
    </row>
    <row r="140" spans="1:12" ht="12.75">
      <c r="A140" s="124" t="s">
        <v>295</v>
      </c>
      <c r="C140" s="125" t="s">
        <v>159</v>
      </c>
      <c r="D140" s="125" t="s">
        <v>159</v>
      </c>
      <c r="E140" s="125" t="s">
        <v>159</v>
      </c>
      <c r="F140" s="125" t="s">
        <v>159</v>
      </c>
      <c r="G140" s="125" t="s">
        <v>159</v>
      </c>
      <c r="H140" s="125">
        <v>0</v>
      </c>
      <c r="I140" s="125">
        <v>0</v>
      </c>
      <c r="J140" s="125">
        <v>0</v>
      </c>
      <c r="K140" s="125">
        <v>6649000</v>
      </c>
      <c r="L140" s="125">
        <v>6057000</v>
      </c>
    </row>
    <row r="141" spans="1:12" ht="12.75">
      <c r="A141" s="124" t="s">
        <v>296</v>
      </c>
      <c r="C141" s="125">
        <v>50539000</v>
      </c>
      <c r="D141" s="125">
        <v>52854000</v>
      </c>
      <c r="E141" s="125">
        <v>50632000</v>
      </c>
      <c r="F141" s="125">
        <v>38476000</v>
      </c>
      <c r="G141" s="125">
        <v>32477000</v>
      </c>
      <c r="H141" s="125">
        <v>27575000</v>
      </c>
      <c r="I141" s="125">
        <v>31107000</v>
      </c>
      <c r="J141" s="125">
        <v>29689000</v>
      </c>
      <c r="K141" s="125">
        <v>24062000</v>
      </c>
      <c r="L141" s="125">
        <v>25465000</v>
      </c>
    </row>
    <row r="143" ht="12.75">
      <c r="A143" s="124" t="s">
        <v>297</v>
      </c>
    </row>
    <row r="144" spans="1:12" ht="12.75">
      <c r="A144" s="124" t="s">
        <v>266</v>
      </c>
      <c r="C144" s="125">
        <v>123197</v>
      </c>
      <c r="D144" s="125">
        <v>123196</v>
      </c>
      <c r="E144" s="125">
        <v>123195</v>
      </c>
      <c r="F144" s="125">
        <v>123194</v>
      </c>
      <c r="G144" s="125">
        <v>123193</v>
      </c>
      <c r="H144" s="125">
        <v>123192</v>
      </c>
      <c r="I144" s="125">
        <v>123191</v>
      </c>
      <c r="J144" s="125">
        <v>123190</v>
      </c>
      <c r="K144" s="125">
        <v>123189</v>
      </c>
      <c r="L144" s="125">
        <v>123188</v>
      </c>
    </row>
    <row r="145" spans="1:12" ht="12.75">
      <c r="A145" s="124" t="s">
        <v>298</v>
      </c>
      <c r="C145" s="125">
        <v>1670000</v>
      </c>
      <c r="D145" s="125">
        <v>1368000</v>
      </c>
      <c r="E145" s="125">
        <v>232000</v>
      </c>
      <c r="F145" s="125">
        <v>-465000</v>
      </c>
      <c r="G145" s="125">
        <v>89000</v>
      </c>
      <c r="H145" s="125">
        <v>1158000</v>
      </c>
      <c r="I145" s="125">
        <v>-4000</v>
      </c>
      <c r="J145" s="125">
        <v>-283000</v>
      </c>
      <c r="K145" s="125">
        <v>-198000</v>
      </c>
      <c r="L145" s="125">
        <v>-865000</v>
      </c>
    </row>
    <row r="146" spans="1:12" ht="12.75">
      <c r="A146" s="124" t="s">
        <v>299</v>
      </c>
      <c r="C146" s="125">
        <v>-6117000</v>
      </c>
      <c r="D146" s="125">
        <v>1731000</v>
      </c>
      <c r="E146" s="125">
        <v>2910000</v>
      </c>
      <c r="F146" s="125">
        <v>12162000</v>
      </c>
      <c r="G146" s="125">
        <v>3371000</v>
      </c>
      <c r="H146" s="125">
        <v>-2636000</v>
      </c>
      <c r="I146" s="125">
        <v>-7004000</v>
      </c>
      <c r="J146" s="125">
        <v>-7078000</v>
      </c>
      <c r="K146" s="125">
        <v>-5038000</v>
      </c>
      <c r="L146" s="125">
        <v>-24736000</v>
      </c>
    </row>
    <row r="147" spans="1:12" ht="12.75">
      <c r="A147" s="124" t="s">
        <v>300</v>
      </c>
      <c r="C147" s="125">
        <v>14240000</v>
      </c>
      <c r="D147" s="125">
        <v>17851000</v>
      </c>
      <c r="E147" s="125">
        <v>14946000</v>
      </c>
      <c r="F147" s="125">
        <v>13392000</v>
      </c>
      <c r="G147" s="125">
        <v>10187000</v>
      </c>
      <c r="H147" s="125">
        <v>10249000</v>
      </c>
      <c r="I147" s="125">
        <v>7497000</v>
      </c>
      <c r="J147" s="125">
        <v>9036000</v>
      </c>
      <c r="K147" s="125" t="s">
        <v>159</v>
      </c>
      <c r="L147" s="125" t="s">
        <v>159</v>
      </c>
    </row>
    <row r="148" spans="1:12" ht="12.75">
      <c r="A148" s="124" t="s">
        <v>301</v>
      </c>
      <c r="C148" s="125">
        <v>18275000</v>
      </c>
      <c r="D148" s="125">
        <v>20212000</v>
      </c>
      <c r="E148" s="125">
        <v>25217000</v>
      </c>
      <c r="F148" s="125">
        <v>16411000</v>
      </c>
      <c r="G148" s="125">
        <v>15591000</v>
      </c>
      <c r="H148" s="125">
        <v>13553000</v>
      </c>
      <c r="I148" s="125">
        <v>16361000</v>
      </c>
      <c r="J148" s="125">
        <v>15909000</v>
      </c>
      <c r="K148" s="125" t="s">
        <v>159</v>
      </c>
      <c r="L148" s="125" t="s">
        <v>159</v>
      </c>
    </row>
    <row r="149" spans="1:12" ht="12.75">
      <c r="A149" s="124" t="s">
        <v>302</v>
      </c>
      <c r="C149" s="125">
        <v>5705000</v>
      </c>
      <c r="D149" s="125">
        <v>3729000</v>
      </c>
      <c r="E149" s="125">
        <v>10503000</v>
      </c>
      <c r="F149" s="125">
        <v>2554000</v>
      </c>
      <c r="G149" s="125">
        <v>5493000</v>
      </c>
      <c r="H149" s="125">
        <v>4462000</v>
      </c>
      <c r="I149" s="125">
        <v>8860000</v>
      </c>
      <c r="J149" s="125">
        <v>6590000</v>
      </c>
      <c r="K149" s="125" t="s">
        <v>159</v>
      </c>
      <c r="L149" s="125" t="s">
        <v>159</v>
      </c>
    </row>
    <row r="151" ht="12.75">
      <c r="A151" s="124" t="s">
        <v>303</v>
      </c>
    </row>
    <row r="152" ht="25.5">
      <c r="A152" s="124" t="s">
        <v>304</v>
      </c>
    </row>
    <row r="153" ht="25.5">
      <c r="A153" s="124" t="s">
        <v>305</v>
      </c>
    </row>
    <row r="154" ht="38.25">
      <c r="A154" s="124" t="s">
        <v>306</v>
      </c>
    </row>
    <row r="155" ht="25.5">
      <c r="A155" s="124" t="s">
        <v>307</v>
      </c>
    </row>
    <row r="156" ht="25.5">
      <c r="A156" s="124" t="s">
        <v>308</v>
      </c>
    </row>
    <row r="157" ht="38.25">
      <c r="A157" s="124" t="s">
        <v>309</v>
      </c>
    </row>
    <row r="158" ht="38.25">
      <c r="A158" s="124" t="s">
        <v>310</v>
      </c>
    </row>
    <row r="159" ht="38.25">
      <c r="A159" s="124" t="s">
        <v>311</v>
      </c>
    </row>
    <row r="160" ht="38.25">
      <c r="A160" s="124" t="s">
        <v>312</v>
      </c>
    </row>
    <row r="161" ht="25.5">
      <c r="A161" s="124" t="s">
        <v>313</v>
      </c>
    </row>
    <row r="162" ht="38.25">
      <c r="A162" s="124" t="s">
        <v>314</v>
      </c>
    </row>
    <row r="163" ht="25.5">
      <c r="A163" s="124" t="s">
        <v>315</v>
      </c>
    </row>
    <row r="164" ht="25.5">
      <c r="A164" s="124" t="s">
        <v>316</v>
      </c>
    </row>
    <row r="165" ht="25.5">
      <c r="A165" s="124" t="s">
        <v>317</v>
      </c>
    </row>
  </sheetData>
  <printOptions/>
  <pageMargins left="0.75" right="0.75" top="1" bottom="1" header="0.5" footer="0.5"/>
  <pageSetup fitToHeight="1" fitToWidth="1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 Gee</dc:creator>
  <cp:keywords/>
  <dc:description/>
  <cp:lastModifiedBy>P.V. Viswanath</cp:lastModifiedBy>
  <dcterms:created xsi:type="dcterms:W3CDTF">1998-03-31T01:14:33Z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